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lbelosto\Dropbox\LNA-Survey\"/>
    </mc:Choice>
  </mc:AlternateContent>
  <xr:revisionPtr revIDLastSave="0" documentId="13_ncr:1_{9544ED32-EC9D-4EC1-8311-7835AA9154B6}" xr6:coauthVersionLast="47" xr6:coauthVersionMax="47" xr10:uidLastSave="{00000000-0000-0000-0000-000000000000}"/>
  <bookViews>
    <workbookView xWindow="-120" yWindow="-120" windowWidth="29040" windowHeight="15840" tabRatio="617" xr2:uid="{00000000-000D-0000-FFFF-FFFF00000000}"/>
  </bookViews>
  <sheets>
    <sheet name="ReadMe" sheetId="18" r:id="rId1"/>
    <sheet name="CMOS" sheetId="4" r:id="rId2"/>
    <sheet name="GaAs" sheetId="5" r:id="rId3"/>
    <sheet name="CryoLNA" sheetId="14" r:id="rId4"/>
    <sheet name="InP" sheetId="10" r:id="rId5"/>
    <sheet name="SiGe" sheetId="6" r:id="rId6"/>
    <sheet name="GAN" sheetId="7" r:id="rId7"/>
    <sheet name="FOM_N vs Freq" sheetId="19" r:id="rId8"/>
    <sheet name="FOM_S vs Freq" sheetId="21" r:id="rId9"/>
    <sheet name="FOM_D vs Freq" sheetId="22" r:id="rId10"/>
    <sheet name="FOM^BW_D vs Freq" sheetId="23" r:id="rId11"/>
    <sheet name="CMOS FOM vs Freq" sheetId="15" r:id="rId12"/>
    <sheet name="CMOS FOM coeff. calculation" sheetId="17" r:id="rId13"/>
    <sheet name="Limits" sheetId="20" r:id="rId14"/>
    <sheet name="Other FOM eq" sheetId="11" r:id="rId15"/>
  </sheets>
  <definedNames>
    <definedName name="solver_adj" localSheetId="12" hidden="1">'CMOS FOM coeff. calculation'!$F$3:$J$3</definedName>
    <definedName name="solver_cvg" localSheetId="12" hidden="1">0.0001</definedName>
    <definedName name="solver_drv" localSheetId="12" hidden="1">1</definedName>
    <definedName name="solver_eng" localSheetId="12" hidden="1">1</definedName>
    <definedName name="solver_est" localSheetId="12" hidden="1">1</definedName>
    <definedName name="solver_itr" localSheetId="12" hidden="1">2147483647</definedName>
    <definedName name="solver_mip" localSheetId="12" hidden="1">2147483647</definedName>
    <definedName name="solver_mni" localSheetId="12" hidden="1">30</definedName>
    <definedName name="solver_mrt" localSheetId="12" hidden="1">0.075</definedName>
    <definedName name="solver_msl" localSheetId="12" hidden="1">2</definedName>
    <definedName name="solver_neg" localSheetId="12" hidden="1">2</definedName>
    <definedName name="solver_nod" localSheetId="12" hidden="1">2147483647</definedName>
    <definedName name="solver_num" localSheetId="12" hidden="1">0</definedName>
    <definedName name="solver_nwt" localSheetId="12" hidden="1">1</definedName>
    <definedName name="solver_opt" localSheetId="12" hidden="1">'CMOS FOM coeff. calculation'!$F$5</definedName>
    <definedName name="solver_pre" localSheetId="12" hidden="1">0.000001</definedName>
    <definedName name="solver_rbv" localSheetId="12" hidden="1">1</definedName>
    <definedName name="solver_rlx" localSheetId="12" hidden="1">2</definedName>
    <definedName name="solver_rsd" localSheetId="12" hidden="1">0</definedName>
    <definedName name="solver_scl" localSheetId="12" hidden="1">1</definedName>
    <definedName name="solver_sho" localSheetId="12" hidden="1">2</definedName>
    <definedName name="solver_ssz" localSheetId="12" hidden="1">100</definedName>
    <definedName name="solver_tim" localSheetId="12" hidden="1">2147483647</definedName>
    <definedName name="solver_tol" localSheetId="12" hidden="1">0.01</definedName>
    <definedName name="solver_typ" localSheetId="12" hidden="1">1</definedName>
    <definedName name="solver_val" localSheetId="12" hidden="1">0</definedName>
    <definedName name="solver_ver" localSheetId="12"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85" i="4" l="1"/>
  <c r="R685" i="4" s="1"/>
  <c r="S685" i="4"/>
  <c r="Q686" i="4"/>
  <c r="R686" i="4" s="1"/>
  <c r="S686" i="4"/>
  <c r="Q684" i="4"/>
  <c r="R684" i="4" s="1"/>
  <c r="S684" i="4"/>
  <c r="S683" i="4"/>
  <c r="V683" i="4"/>
  <c r="W683" i="4" s="1"/>
  <c r="Q683" i="4"/>
  <c r="R683" i="4" s="1"/>
  <c r="T682" i="4"/>
  <c r="U682" i="4" s="1"/>
  <c r="F459" i="4"/>
  <c r="Q456" i="4"/>
  <c r="R456" i="4" s="1"/>
  <c r="S456" i="4"/>
  <c r="Q457" i="4"/>
  <c r="R457" i="4" s="1"/>
  <c r="S457" i="4"/>
  <c r="Q458" i="4"/>
  <c r="R458" i="4" s="1"/>
  <c r="S458" i="4"/>
  <c r="Q459" i="4"/>
  <c r="R459" i="4" s="1"/>
  <c r="S459" i="4"/>
  <c r="Q460" i="4"/>
  <c r="R460" i="4" s="1"/>
  <c r="S460" i="4"/>
  <c r="Q461" i="4"/>
  <c r="R461" i="4"/>
  <c r="S461" i="4"/>
  <c r="T461" i="4"/>
  <c r="U461" i="4" s="1"/>
  <c r="X461" i="4"/>
  <c r="Q455" i="4"/>
  <c r="R455" i="4" s="1"/>
  <c r="S455" i="4"/>
  <c r="Q530" i="4"/>
  <c r="R530" i="4" s="1"/>
  <c r="S530" i="4"/>
  <c r="Q531" i="4"/>
  <c r="R531" i="4" s="1"/>
  <c r="S531" i="4"/>
  <c r="Q532" i="4"/>
  <c r="T532" i="4" s="1"/>
  <c r="S532" i="4"/>
  <c r="Q533" i="4"/>
  <c r="R533" i="4" s="1"/>
  <c r="S533" i="4"/>
  <c r="Q534" i="4"/>
  <c r="T534" i="4" s="1"/>
  <c r="S534" i="4"/>
  <c r="S529" i="4"/>
  <c r="Q529" i="4"/>
  <c r="R529" i="4" s="1"/>
  <c r="Q302" i="4"/>
  <c r="R302" i="4" s="1"/>
  <c r="S302" i="4"/>
  <c r="Q303" i="4"/>
  <c r="R303" i="4" s="1"/>
  <c r="S303" i="4"/>
  <c r="Q304" i="4"/>
  <c r="R304" i="4" s="1"/>
  <c r="S304" i="4"/>
  <c r="Q305" i="4"/>
  <c r="R305" i="4" s="1"/>
  <c r="S305" i="4"/>
  <c r="Q306" i="4"/>
  <c r="R306" i="4" s="1"/>
  <c r="S306" i="4"/>
  <c r="Q307" i="4"/>
  <c r="R307" i="4" s="1"/>
  <c r="S307" i="4"/>
  <c r="Q308" i="4"/>
  <c r="R308" i="4" s="1"/>
  <c r="S308" i="4"/>
  <c r="Q309" i="4"/>
  <c r="T309" i="4" s="1"/>
  <c r="S309" i="4"/>
  <c r="Q310" i="4"/>
  <c r="R310" i="4" s="1"/>
  <c r="S310" i="4"/>
  <c r="Q311" i="4"/>
  <c r="R311" i="4" s="1"/>
  <c r="S311" i="4"/>
  <c r="Q312" i="4"/>
  <c r="R312" i="4" s="1"/>
  <c r="S312" i="4"/>
  <c r="Q313" i="4"/>
  <c r="R313" i="4" s="1"/>
  <c r="S313" i="4"/>
  <c r="Q314" i="4"/>
  <c r="R314" i="4" s="1"/>
  <c r="X314" i="4" s="1"/>
  <c r="S314" i="4"/>
  <c r="Q315" i="4"/>
  <c r="R315" i="4" s="1"/>
  <c r="X315" i="4" s="1"/>
  <c r="S315" i="4"/>
  <c r="S351" i="4"/>
  <c r="Q351" i="4"/>
  <c r="R351" i="4" s="1"/>
  <c r="S190" i="4"/>
  <c r="Q190" i="4"/>
  <c r="T190" i="4" s="1"/>
  <c r="Q188" i="4"/>
  <c r="R188" i="4" s="1"/>
  <c r="S188" i="4"/>
  <c r="Q189" i="4"/>
  <c r="R189" i="4" s="1"/>
  <c r="S189" i="4"/>
  <c r="Q179" i="4"/>
  <c r="R179" i="4" s="1"/>
  <c r="Q178" i="4"/>
  <c r="R178" i="4" s="1"/>
  <c r="S179" i="4"/>
  <c r="S187" i="4"/>
  <c r="Q187" i="4"/>
  <c r="T187" i="4" s="1"/>
  <c r="U187" i="4" s="1"/>
  <c r="S175" i="4"/>
  <c r="S176" i="4"/>
  <c r="Q177" i="4"/>
  <c r="R177" i="4" s="1"/>
  <c r="S177" i="4"/>
  <c r="Q186" i="4"/>
  <c r="R186" i="4" s="1"/>
  <c r="S186" i="4"/>
  <c r="Q185" i="4"/>
  <c r="R185" i="4" s="1"/>
  <c r="S185" i="4"/>
  <c r="S178" i="4"/>
  <c r="S180" i="4"/>
  <c r="S181" i="4"/>
  <c r="S182" i="4"/>
  <c r="S183" i="4"/>
  <c r="S184" i="4"/>
  <c r="S173" i="4"/>
  <c r="S174" i="4"/>
  <c r="Q176" i="4"/>
  <c r="R176" i="4" s="1"/>
  <c r="Q175" i="4"/>
  <c r="R175" i="4" s="1"/>
  <c r="Q174" i="4"/>
  <c r="T174" i="4" s="1"/>
  <c r="U174" i="4" s="1"/>
  <c r="Q173" i="4"/>
  <c r="R173" i="4" s="1"/>
  <c r="S172" i="4"/>
  <c r="Q172" i="4"/>
  <c r="R172" i="4" s="1"/>
  <c r="Q170" i="4"/>
  <c r="R170" i="4" s="1"/>
  <c r="S170" i="4"/>
  <c r="Q171" i="4"/>
  <c r="R171" i="4" s="1"/>
  <c r="S171" i="4"/>
  <c r="Q180" i="4"/>
  <c r="T180" i="4" s="1"/>
  <c r="S169" i="4"/>
  <c r="Q169" i="4"/>
  <c r="R169" i="4" s="1"/>
  <c r="Q300" i="4"/>
  <c r="T300" i="4" s="1"/>
  <c r="S300" i="4"/>
  <c r="Q301" i="4"/>
  <c r="R301" i="4" s="1"/>
  <c r="S301" i="4"/>
  <c r="Q182" i="4"/>
  <c r="R182" i="4" s="1"/>
  <c r="Q183" i="4"/>
  <c r="T183" i="4" s="1"/>
  <c r="S671" i="4"/>
  <c r="Q670" i="4"/>
  <c r="T670" i="4" s="1"/>
  <c r="U670" i="4" s="1"/>
  <c r="S670" i="4"/>
  <c r="Q671" i="4"/>
  <c r="T671" i="4" s="1"/>
  <c r="U671" i="4" s="1"/>
  <c r="Q672" i="4"/>
  <c r="R672" i="4" s="1"/>
  <c r="S672" i="4"/>
  <c r="Q673" i="4"/>
  <c r="R673" i="4" s="1"/>
  <c r="S673" i="4"/>
  <c r="Q674" i="4"/>
  <c r="S674" i="4"/>
  <c r="Q675" i="4"/>
  <c r="R675" i="4" s="1"/>
  <c r="S675" i="4"/>
  <c r="Q676" i="4"/>
  <c r="T676" i="4" s="1"/>
  <c r="S676" i="4"/>
  <c r="Q677" i="4"/>
  <c r="R677" i="4" s="1"/>
  <c r="S677" i="4"/>
  <c r="Q678" i="4"/>
  <c r="R678" i="4" s="1"/>
  <c r="S678" i="4"/>
  <c r="Q679" i="4"/>
  <c r="R679" i="4" s="1"/>
  <c r="S679" i="4"/>
  <c r="Q680" i="4"/>
  <c r="T680" i="4" s="1"/>
  <c r="S680" i="4"/>
  <c r="Q681" i="4"/>
  <c r="R681" i="4" s="1"/>
  <c r="S681" i="4"/>
  <c r="Q682" i="4"/>
  <c r="R682" i="4" s="1"/>
  <c r="S682" i="4"/>
  <c r="S528" i="4"/>
  <c r="Q528" i="4"/>
  <c r="R528" i="4" s="1"/>
  <c r="S527" i="4"/>
  <c r="Q527" i="4"/>
  <c r="R527" i="4" s="1"/>
  <c r="S526" i="4"/>
  <c r="Q526" i="4"/>
  <c r="T526" i="4" s="1"/>
  <c r="Q525" i="4"/>
  <c r="R525" i="4" s="1"/>
  <c r="S525" i="4"/>
  <c r="Q524" i="4"/>
  <c r="R524" i="4" s="1"/>
  <c r="S524" i="4"/>
  <c r="Q523" i="4"/>
  <c r="S523" i="4"/>
  <c r="S522" i="4"/>
  <c r="Q522" i="4"/>
  <c r="R522" i="4" s="1"/>
  <c r="Q521" i="4"/>
  <c r="R521" i="4" s="1"/>
  <c r="S521" i="4"/>
  <c r="S453" i="4"/>
  <c r="S454" i="4"/>
  <c r="Q454" i="4"/>
  <c r="R454" i="4" s="1"/>
  <c r="Q453" i="4"/>
  <c r="R453" i="4" s="1"/>
  <c r="S452" i="4"/>
  <c r="Q452" i="4"/>
  <c r="R452" i="4" s="1"/>
  <c r="S451" i="4"/>
  <c r="Q451" i="4"/>
  <c r="R451" i="4" s="1"/>
  <c r="S450" i="4"/>
  <c r="Q450" i="4"/>
  <c r="R450" i="4" s="1"/>
  <c r="S449" i="4"/>
  <c r="Q449" i="4"/>
  <c r="R449" i="4" s="1"/>
  <c r="S299" i="4"/>
  <c r="S298" i="4"/>
  <c r="Q299" i="4"/>
  <c r="T299" i="4" s="1"/>
  <c r="U299" i="4" s="1"/>
  <c r="Q298" i="4"/>
  <c r="T298" i="4" s="1"/>
  <c r="U298" i="4" s="1"/>
  <c r="S297" i="4"/>
  <c r="Q297" i="4"/>
  <c r="R297" i="4" s="1"/>
  <c r="Q184" i="4"/>
  <c r="R184" i="4" s="1"/>
  <c r="Q181" i="4"/>
  <c r="R181" i="4" s="1"/>
  <c r="Q168" i="4"/>
  <c r="R168" i="4" s="1"/>
  <c r="S168" i="4"/>
  <c r="S167" i="4"/>
  <c r="Q167" i="4"/>
  <c r="R167" i="4" s="1"/>
  <c r="Q166" i="4"/>
  <c r="R166" i="4" s="1"/>
  <c r="S166" i="4"/>
  <c r="S165" i="4"/>
  <c r="Q165" i="4"/>
  <c r="R165" i="4" s="1"/>
  <c r="M3" i="17"/>
  <c r="Q669" i="4"/>
  <c r="R669" i="4" s="1"/>
  <c r="S669" i="4"/>
  <c r="Q664" i="4"/>
  <c r="R664" i="4" s="1"/>
  <c r="S664" i="4"/>
  <c r="Q665" i="4"/>
  <c r="T665" i="4" s="1"/>
  <c r="S665" i="4"/>
  <c r="Q666" i="4"/>
  <c r="R666" i="4" s="1"/>
  <c r="S666" i="4"/>
  <c r="Q667" i="4"/>
  <c r="T667" i="4" s="1"/>
  <c r="S667" i="4"/>
  <c r="Q668" i="4"/>
  <c r="R668" i="4" s="1"/>
  <c r="S668" i="4"/>
  <c r="S663" i="4"/>
  <c r="Q663" i="4"/>
  <c r="R663" i="4" s="1"/>
  <c r="Q662" i="4"/>
  <c r="R662" i="4" s="1"/>
  <c r="S662" i="4"/>
  <c r="Q519" i="4"/>
  <c r="T519" i="4" s="1"/>
  <c r="S519" i="4"/>
  <c r="Q520" i="4"/>
  <c r="R520" i="4" s="1"/>
  <c r="S520" i="4"/>
  <c r="Q516" i="4"/>
  <c r="R516" i="4" s="1"/>
  <c r="S516" i="4"/>
  <c r="Q517" i="4"/>
  <c r="R517" i="4" s="1"/>
  <c r="S517" i="4"/>
  <c r="Q518" i="4"/>
  <c r="R518" i="4" s="1"/>
  <c r="S518" i="4"/>
  <c r="Q515" i="4"/>
  <c r="R515" i="4" s="1"/>
  <c r="S515" i="4"/>
  <c r="S514" i="4"/>
  <c r="S448" i="4"/>
  <c r="S447" i="4"/>
  <c r="S446" i="4"/>
  <c r="Q448" i="4"/>
  <c r="R448" i="4" s="1"/>
  <c r="Q447" i="4"/>
  <c r="R447" i="4" s="1"/>
  <c r="Q446" i="4"/>
  <c r="R446" i="4" s="1"/>
  <c r="Q443" i="4"/>
  <c r="R443" i="4" s="1"/>
  <c r="Q444" i="4"/>
  <c r="R444" i="4" s="1"/>
  <c r="Q445" i="4"/>
  <c r="R445" i="4" s="1"/>
  <c r="S443" i="4"/>
  <c r="S444" i="4"/>
  <c r="S445" i="4"/>
  <c r="S296" i="4"/>
  <c r="Q296" i="4"/>
  <c r="R296" i="4" s="1"/>
  <c r="S164" i="4"/>
  <c r="S163" i="4"/>
  <c r="Q164" i="4"/>
  <c r="T164" i="4" s="1"/>
  <c r="U164" i="4" s="1"/>
  <c r="Q163" i="4"/>
  <c r="R163" i="4" s="1"/>
  <c r="S160" i="4"/>
  <c r="S161" i="4"/>
  <c r="S162" i="4"/>
  <c r="Q162" i="4"/>
  <c r="R162" i="4" s="1"/>
  <c r="Q161" i="4"/>
  <c r="R161" i="4" s="1"/>
  <c r="S147" i="4"/>
  <c r="S148" i="4"/>
  <c r="S149" i="4"/>
  <c r="S150" i="4"/>
  <c r="S151" i="4"/>
  <c r="S152" i="4"/>
  <c r="S153" i="4"/>
  <c r="S154" i="4"/>
  <c r="S155" i="4"/>
  <c r="S156" i="4"/>
  <c r="S157" i="4"/>
  <c r="S158" i="4"/>
  <c r="S159" i="4"/>
  <c r="Q160" i="4"/>
  <c r="T160" i="4" s="1"/>
  <c r="Q159" i="4"/>
  <c r="T159" i="4" s="1"/>
  <c r="Q158" i="4"/>
  <c r="R158" i="4" s="1"/>
  <c r="S661" i="4"/>
  <c r="S660" i="4"/>
  <c r="Q661" i="4"/>
  <c r="R661" i="4" s="1"/>
  <c r="Q660" i="4"/>
  <c r="R660" i="4" s="1"/>
  <c r="Q659" i="4"/>
  <c r="R659" i="4" s="1"/>
  <c r="Y518" i="17" s="1"/>
  <c r="A518" i="17" s="1"/>
  <c r="S659" i="4"/>
  <c r="Q658" i="4"/>
  <c r="R658" i="4" s="1"/>
  <c r="Y517" i="17" s="1"/>
  <c r="S658" i="4"/>
  <c r="S657" i="4"/>
  <c r="Q657" i="4"/>
  <c r="T657" i="4" s="1"/>
  <c r="U657" i="4" s="1"/>
  <c r="Q655" i="4"/>
  <c r="R655" i="4" s="1"/>
  <c r="S655" i="4"/>
  <c r="Q656" i="4"/>
  <c r="T656" i="4" s="1"/>
  <c r="S656" i="4"/>
  <c r="S654" i="4"/>
  <c r="Q654" i="4"/>
  <c r="T654" i="4" s="1"/>
  <c r="U654" i="4" s="1"/>
  <c r="S649" i="4"/>
  <c r="Q350" i="4"/>
  <c r="T350" i="4" s="1"/>
  <c r="S350" i="4"/>
  <c r="S641" i="4"/>
  <c r="S642" i="4"/>
  <c r="S643" i="4"/>
  <c r="Q642" i="4"/>
  <c r="R642" i="4" s="1"/>
  <c r="Q641" i="4"/>
  <c r="R641" i="4" s="1"/>
  <c r="Q643" i="4"/>
  <c r="T643" i="4" s="1"/>
  <c r="Q644" i="4"/>
  <c r="R644" i="4" s="1"/>
  <c r="S644" i="4"/>
  <c r="Q645" i="4"/>
  <c r="T645" i="4" s="1"/>
  <c r="U645" i="4" s="1"/>
  <c r="S645" i="4"/>
  <c r="Q646" i="4"/>
  <c r="T646" i="4" s="1"/>
  <c r="S646" i="4"/>
  <c r="Q647" i="4"/>
  <c r="R647" i="4" s="1"/>
  <c r="S647" i="4"/>
  <c r="Q648" i="4"/>
  <c r="R648" i="4" s="1"/>
  <c r="S648" i="4"/>
  <c r="Q649" i="4"/>
  <c r="Q650" i="4"/>
  <c r="T650" i="4" s="1"/>
  <c r="S650" i="4"/>
  <c r="Q651" i="4"/>
  <c r="R651" i="4" s="1"/>
  <c r="S651" i="4"/>
  <c r="Q652" i="4"/>
  <c r="R652" i="4" s="1"/>
  <c r="S652" i="4"/>
  <c r="Q653" i="4"/>
  <c r="T653" i="4" s="1"/>
  <c r="U653" i="4" s="1"/>
  <c r="S653" i="4"/>
  <c r="Q640" i="4"/>
  <c r="R640" i="4" s="1"/>
  <c r="Q639" i="4"/>
  <c r="R639" i="4" s="1"/>
  <c r="Q638" i="4"/>
  <c r="R638" i="4" s="1"/>
  <c r="Q637" i="4"/>
  <c r="R637" i="4" s="1"/>
  <c r="Q513" i="4"/>
  <c r="R513" i="4" s="1"/>
  <c r="S513" i="4"/>
  <c r="Q514" i="4"/>
  <c r="R514" i="4" s="1"/>
  <c r="S512" i="4"/>
  <c r="S511" i="4"/>
  <c r="Q512" i="4"/>
  <c r="R512" i="4" s="1"/>
  <c r="Q511" i="4"/>
  <c r="R511" i="4" s="1"/>
  <c r="S510" i="4"/>
  <c r="Q510" i="4"/>
  <c r="R510" i="4" s="1"/>
  <c r="Q440" i="4"/>
  <c r="R440" i="4" s="1"/>
  <c r="Q441" i="4"/>
  <c r="R441" i="4" s="1"/>
  <c r="Q442" i="4"/>
  <c r="T442" i="4" s="1"/>
  <c r="U442" i="4" s="1"/>
  <c r="S440" i="4"/>
  <c r="S441" i="4"/>
  <c r="S442" i="4"/>
  <c r="Q438" i="4"/>
  <c r="T438" i="4" s="1"/>
  <c r="S438" i="4"/>
  <c r="Q439" i="4"/>
  <c r="R439" i="4" s="1"/>
  <c r="S439" i="4"/>
  <c r="T686" i="4" l="1"/>
  <c r="T685" i="4"/>
  <c r="T684" i="4"/>
  <c r="T683" i="4"/>
  <c r="U683" i="4" s="1"/>
  <c r="V680" i="4"/>
  <c r="W680" i="4" s="1"/>
  <c r="U680" i="4"/>
  <c r="T681" i="4"/>
  <c r="U681" i="4" s="1"/>
  <c r="T679" i="4"/>
  <c r="U679" i="4" s="1"/>
  <c r="V682" i="4"/>
  <c r="W682" i="4" s="1"/>
  <c r="T459" i="4"/>
  <c r="U459" i="4" s="1"/>
  <c r="T457" i="4"/>
  <c r="U457" i="4" s="1"/>
  <c r="V461" i="4"/>
  <c r="W461" i="4" s="1"/>
  <c r="T460" i="4"/>
  <c r="T458" i="4"/>
  <c r="T456" i="4"/>
  <c r="T455" i="4"/>
  <c r="U455" i="4" s="1"/>
  <c r="T529" i="4"/>
  <c r="U529" i="4" s="1"/>
  <c r="R534" i="4"/>
  <c r="R532" i="4"/>
  <c r="U534" i="4"/>
  <c r="V534" i="4"/>
  <c r="W534" i="4" s="1"/>
  <c r="V532" i="4"/>
  <c r="W532" i="4" s="1"/>
  <c r="U532" i="4"/>
  <c r="T531" i="4"/>
  <c r="T533" i="4"/>
  <c r="T530" i="4"/>
  <c r="T306" i="4"/>
  <c r="U306" i="4" s="1"/>
  <c r="T311" i="4"/>
  <c r="U309" i="4"/>
  <c r="V309" i="4"/>
  <c r="W309" i="4" s="1"/>
  <c r="T314" i="4"/>
  <c r="T304" i="4"/>
  <c r="R309" i="4"/>
  <c r="T313" i="4"/>
  <c r="T308" i="4"/>
  <c r="T303" i="4"/>
  <c r="T315" i="4"/>
  <c r="T310" i="4"/>
  <c r="T305" i="4"/>
  <c r="T312" i="4"/>
  <c r="T307" i="4"/>
  <c r="T302" i="4"/>
  <c r="U190" i="4"/>
  <c r="V190" i="4"/>
  <c r="W190" i="4" s="1"/>
  <c r="R190" i="4"/>
  <c r="X190" i="4" s="1"/>
  <c r="T351" i="4"/>
  <c r="U351" i="4" s="1"/>
  <c r="T178" i="4"/>
  <c r="T189" i="4"/>
  <c r="T188" i="4"/>
  <c r="T186" i="4"/>
  <c r="U186" i="4" s="1"/>
  <c r="R187" i="4"/>
  <c r="T179" i="4"/>
  <c r="V179" i="4" s="1"/>
  <c r="W179" i="4" s="1"/>
  <c r="T172" i="4"/>
  <c r="U172" i="4" s="1"/>
  <c r="T177" i="4"/>
  <c r="U177" i="4" s="1"/>
  <c r="V187" i="4"/>
  <c r="W187" i="4" s="1"/>
  <c r="T185" i="4"/>
  <c r="U185" i="4" s="1"/>
  <c r="V180" i="4"/>
  <c r="W180" i="4" s="1"/>
  <c r="T184" i="4"/>
  <c r="U184" i="4" s="1"/>
  <c r="U183" i="4"/>
  <c r="V183" i="4"/>
  <c r="W183" i="4" s="1"/>
  <c r="T175" i="4"/>
  <c r="U175" i="4" s="1"/>
  <c r="T181" i="4"/>
  <c r="U181" i="4" s="1"/>
  <c r="T176" i="4"/>
  <c r="U176" i="4" s="1"/>
  <c r="V174" i="4"/>
  <c r="W174" i="4" s="1"/>
  <c r="T173" i="4"/>
  <c r="U173" i="4" s="1"/>
  <c r="T182" i="4"/>
  <c r="U182" i="4" s="1"/>
  <c r="U180" i="4"/>
  <c r="R174" i="4"/>
  <c r="R180" i="4"/>
  <c r="T171" i="4"/>
  <c r="T170" i="4"/>
  <c r="T169" i="4"/>
  <c r="U169" i="4" s="1"/>
  <c r="R183" i="4"/>
  <c r="T301" i="4"/>
  <c r="U301" i="4" s="1"/>
  <c r="R300" i="4"/>
  <c r="U300" i="4"/>
  <c r="V300" i="4"/>
  <c r="W300" i="4" s="1"/>
  <c r="T677" i="4"/>
  <c r="U677" i="4" s="1"/>
  <c r="R676" i="4"/>
  <c r="T675" i="4"/>
  <c r="U675" i="4" s="1"/>
  <c r="R680" i="4"/>
  <c r="T678" i="4"/>
  <c r="U678" i="4" s="1"/>
  <c r="R670" i="4"/>
  <c r="V676" i="4"/>
  <c r="W676" i="4" s="1"/>
  <c r="U676" i="4"/>
  <c r="R671" i="4"/>
  <c r="T674" i="4"/>
  <c r="V674" i="4" s="1"/>
  <c r="W674" i="4" s="1"/>
  <c r="R674" i="4"/>
  <c r="T673" i="4"/>
  <c r="V673" i="4" s="1"/>
  <c r="W673" i="4" s="1"/>
  <c r="T672" i="4"/>
  <c r="V672" i="4" s="1"/>
  <c r="W672" i="4" s="1"/>
  <c r="V671" i="4"/>
  <c r="W671" i="4" s="1"/>
  <c r="V670" i="4"/>
  <c r="W670" i="4" s="1"/>
  <c r="T528" i="4"/>
  <c r="T527" i="4"/>
  <c r="U527" i="4" s="1"/>
  <c r="U526" i="4"/>
  <c r="V526" i="4"/>
  <c r="W526" i="4" s="1"/>
  <c r="R526" i="4"/>
  <c r="T525" i="4"/>
  <c r="V525" i="4" s="1"/>
  <c r="W525" i="4" s="1"/>
  <c r="T522" i="4"/>
  <c r="U522" i="4" s="1"/>
  <c r="T524" i="4"/>
  <c r="T523" i="4"/>
  <c r="U523" i="4" s="1"/>
  <c r="R523" i="4"/>
  <c r="T454" i="4"/>
  <c r="V454" i="4" s="1"/>
  <c r="W454" i="4" s="1"/>
  <c r="T521" i="4"/>
  <c r="U521" i="4" s="1"/>
  <c r="T453" i="4"/>
  <c r="T449" i="4"/>
  <c r="U449" i="4" s="1"/>
  <c r="T451" i="4"/>
  <c r="U451" i="4" s="1"/>
  <c r="T452" i="4"/>
  <c r="U452" i="4" s="1"/>
  <c r="T450" i="4"/>
  <c r="U450" i="4" s="1"/>
  <c r="V298" i="4"/>
  <c r="W298" i="4" s="1"/>
  <c r="T297" i="4"/>
  <c r="R299" i="4"/>
  <c r="V299" i="4"/>
  <c r="W299" i="4" s="1"/>
  <c r="R298" i="4"/>
  <c r="T168" i="4"/>
  <c r="U168" i="4" s="1"/>
  <c r="T166" i="4"/>
  <c r="T167" i="4"/>
  <c r="U167" i="4" s="1"/>
  <c r="T165" i="4"/>
  <c r="U165" i="4" s="1"/>
  <c r="T518" i="4"/>
  <c r="V518" i="4" s="1"/>
  <c r="W518" i="4" s="1"/>
  <c r="T666" i="4"/>
  <c r="U666" i="4" s="1"/>
  <c r="T669" i="4"/>
  <c r="T668" i="4"/>
  <c r="V668" i="4" s="1"/>
  <c r="W668" i="4" s="1"/>
  <c r="T664" i="4"/>
  <c r="V664" i="4" s="1"/>
  <c r="W664" i="4" s="1"/>
  <c r="U667" i="4"/>
  <c r="V667" i="4"/>
  <c r="W667" i="4" s="1"/>
  <c r="U665" i="4"/>
  <c r="V665" i="4"/>
  <c r="W665" i="4" s="1"/>
  <c r="R667" i="4"/>
  <c r="R665" i="4"/>
  <c r="T663" i="4"/>
  <c r="T662" i="4"/>
  <c r="U519" i="4"/>
  <c r="V519" i="4"/>
  <c r="W519" i="4" s="1"/>
  <c r="T520" i="4"/>
  <c r="R519" i="4"/>
  <c r="T516" i="4"/>
  <c r="U516" i="4" s="1"/>
  <c r="T517" i="4"/>
  <c r="T448" i="4"/>
  <c r="U448" i="4" s="1"/>
  <c r="T515" i="4"/>
  <c r="V515" i="4" s="1"/>
  <c r="W515" i="4" s="1"/>
  <c r="T447" i="4"/>
  <c r="T446" i="4"/>
  <c r="T296" i="4"/>
  <c r="U296" i="4" s="1"/>
  <c r="R164" i="4"/>
  <c r="T163" i="4"/>
  <c r="V164" i="4"/>
  <c r="W164" i="4" s="1"/>
  <c r="T162" i="4"/>
  <c r="U162" i="4" s="1"/>
  <c r="U159" i="4"/>
  <c r="V159" i="4"/>
  <c r="W159" i="4" s="1"/>
  <c r="U160" i="4"/>
  <c r="V160" i="4"/>
  <c r="W160" i="4" s="1"/>
  <c r="T158" i="4"/>
  <c r="U158" i="4" s="1"/>
  <c r="R159" i="4"/>
  <c r="R160" i="4"/>
  <c r="T161" i="4"/>
  <c r="U161" i="4" s="1"/>
  <c r="R350" i="4"/>
  <c r="V350" i="4"/>
  <c r="W350" i="4" s="1"/>
  <c r="R654" i="4"/>
  <c r="A517" i="17"/>
  <c r="B517" i="17"/>
  <c r="T660" i="4"/>
  <c r="U660" i="4" s="1"/>
  <c r="V653" i="4"/>
  <c r="W653" i="4" s="1"/>
  <c r="T661" i="4"/>
  <c r="R657" i="4"/>
  <c r="Y516" i="17" s="1"/>
  <c r="A516" i="17" s="1"/>
  <c r="V657" i="4"/>
  <c r="W657" i="4" s="1"/>
  <c r="B518" i="17"/>
  <c r="T659" i="4"/>
  <c r="T658" i="4"/>
  <c r="V658" i="4" s="1"/>
  <c r="W658" i="4" s="1"/>
  <c r="U656" i="4"/>
  <c r="V656" i="4"/>
  <c r="W656" i="4" s="1"/>
  <c r="R656" i="4"/>
  <c r="T655" i="4"/>
  <c r="V654" i="4"/>
  <c r="W654" i="4" s="1"/>
  <c r="T649" i="4"/>
  <c r="U350" i="4"/>
  <c r="T512" i="4"/>
  <c r="U512" i="4" s="1"/>
  <c r="R650" i="4"/>
  <c r="R653" i="4"/>
  <c r="T651" i="4"/>
  <c r="V651" i="4" s="1"/>
  <c r="W651" i="4" s="1"/>
  <c r="T510" i="4"/>
  <c r="U510" i="4" s="1"/>
  <c r="T511" i="4"/>
  <c r="U511" i="4" s="1"/>
  <c r="T642" i="4"/>
  <c r="U642" i="4" s="1"/>
  <c r="T648" i="4"/>
  <c r="U648" i="4" s="1"/>
  <c r="R646" i="4"/>
  <c r="R645" i="4"/>
  <c r="V646" i="4"/>
  <c r="W646" i="4" s="1"/>
  <c r="U646" i="4"/>
  <c r="U650" i="4"/>
  <c r="V650" i="4"/>
  <c r="W650" i="4" s="1"/>
  <c r="T644" i="4"/>
  <c r="U644" i="4" s="1"/>
  <c r="R643" i="4"/>
  <c r="U643" i="4"/>
  <c r="V643" i="4"/>
  <c r="W643" i="4" s="1"/>
  <c r="R649" i="4"/>
  <c r="V645" i="4"/>
  <c r="W645" i="4" s="1"/>
  <c r="T652" i="4"/>
  <c r="T647" i="4"/>
  <c r="T641" i="4"/>
  <c r="T514" i="4"/>
  <c r="T513" i="4"/>
  <c r="R442" i="4"/>
  <c r="V442" i="4"/>
  <c r="W442" i="4" s="1"/>
  <c r="T444" i="4"/>
  <c r="U444" i="4" s="1"/>
  <c r="T443" i="4"/>
  <c r="T445" i="4"/>
  <c r="T441" i="4"/>
  <c r="T440" i="4"/>
  <c r="R438" i="4"/>
  <c r="V438" i="4"/>
  <c r="W438" i="4" s="1"/>
  <c r="U438" i="4"/>
  <c r="T439" i="4"/>
  <c r="Q436" i="4"/>
  <c r="T436" i="4" s="1"/>
  <c r="S436" i="4"/>
  <c r="Q435" i="4"/>
  <c r="T435" i="4" s="1"/>
  <c r="U435" i="4" s="1"/>
  <c r="S435" i="4"/>
  <c r="S434" i="4"/>
  <c r="Q434" i="4"/>
  <c r="T434" i="4" s="1"/>
  <c r="U434" i="4" s="1"/>
  <c r="Q349" i="4"/>
  <c r="R349" i="4" s="1"/>
  <c r="S349" i="4"/>
  <c r="S348" i="4"/>
  <c r="Q157" i="4"/>
  <c r="R157" i="4" s="1"/>
  <c r="Q156" i="4"/>
  <c r="R156" i="4" s="1"/>
  <c r="Q155" i="4"/>
  <c r="R155" i="4" s="1"/>
  <c r="Q154" i="4"/>
  <c r="R154" i="4" s="1"/>
  <c r="X154" i="4" s="1"/>
  <c r="Q153" i="4"/>
  <c r="R153" i="4" s="1"/>
  <c r="Q636" i="4"/>
  <c r="R636" i="4" s="1"/>
  <c r="S295" i="4"/>
  <c r="Q295" i="4"/>
  <c r="T295" i="4" s="1"/>
  <c r="U295" i="4" s="1"/>
  <c r="Q152" i="4"/>
  <c r="R152" i="4" s="1"/>
  <c r="Q151" i="4"/>
  <c r="R151" i="4" s="1"/>
  <c r="Q150" i="4"/>
  <c r="R150" i="4" s="1"/>
  <c r="Q149" i="4"/>
  <c r="R149" i="4" s="1"/>
  <c r="Q148" i="4"/>
  <c r="R148" i="4" s="1"/>
  <c r="Q147" i="4"/>
  <c r="R147" i="4" s="1"/>
  <c r="T637" i="4"/>
  <c r="U637" i="4" s="1"/>
  <c r="T638" i="4"/>
  <c r="U638" i="4" s="1"/>
  <c r="T639" i="4"/>
  <c r="U639" i="4" s="1"/>
  <c r="T640" i="4"/>
  <c r="U640" i="4" s="1"/>
  <c r="S635" i="4"/>
  <c r="S636" i="4"/>
  <c r="S637" i="4"/>
  <c r="S638" i="4"/>
  <c r="S639" i="4"/>
  <c r="S640" i="4"/>
  <c r="Q635" i="4"/>
  <c r="T635" i="4" s="1"/>
  <c r="U635" i="4" s="1"/>
  <c r="Q634" i="4"/>
  <c r="R634" i="4" s="1"/>
  <c r="S634" i="4"/>
  <c r="Q509" i="4"/>
  <c r="R509" i="4" s="1"/>
  <c r="S509" i="4"/>
  <c r="S508" i="4"/>
  <c r="Q508" i="4"/>
  <c r="R508" i="4" s="1"/>
  <c r="Q507" i="4"/>
  <c r="R507" i="4" s="1"/>
  <c r="Q506" i="4"/>
  <c r="R506" i="4" s="1"/>
  <c r="S507" i="4"/>
  <c r="S506" i="4"/>
  <c r="S505" i="4"/>
  <c r="Q505" i="4"/>
  <c r="T505" i="4" s="1"/>
  <c r="Q504" i="4"/>
  <c r="R504" i="4" s="1"/>
  <c r="X504" i="4" s="1"/>
  <c r="S504" i="4"/>
  <c r="S146" i="4"/>
  <c r="Q146" i="4"/>
  <c r="R146" i="4" s="1"/>
  <c r="S145" i="4"/>
  <c r="Q145" i="4"/>
  <c r="R145" i="4" s="1"/>
  <c r="K4" i="20"/>
  <c r="K3" i="20"/>
  <c r="C4" i="20"/>
  <c r="C3" i="20"/>
  <c r="S4" i="4"/>
  <c r="S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6" i="4"/>
  <c r="S67" i="4"/>
  <c r="S68" i="4"/>
  <c r="S69" i="4"/>
  <c r="S70" i="4"/>
  <c r="S71" i="4"/>
  <c r="S72" i="4"/>
  <c r="S73" i="4"/>
  <c r="S74" i="4"/>
  <c r="S75" i="4"/>
  <c r="S76" i="4"/>
  <c r="S77" i="4"/>
  <c r="S78" i="4"/>
  <c r="S79" i="4"/>
  <c r="S80" i="4"/>
  <c r="S81" i="4"/>
  <c r="S82" i="4"/>
  <c r="S83" i="4"/>
  <c r="S84" i="4"/>
  <c r="S85" i="4"/>
  <c r="S86" i="4"/>
  <c r="S87" i="4"/>
  <c r="S88" i="4"/>
  <c r="S89" i="4"/>
  <c r="S90" i="4"/>
  <c r="S91" i="4"/>
  <c r="S92" i="4"/>
  <c r="S93" i="4"/>
  <c r="S94" i="4"/>
  <c r="S95" i="4"/>
  <c r="S96" i="4"/>
  <c r="S97" i="4"/>
  <c r="S98" i="4"/>
  <c r="S99" i="4"/>
  <c r="S100" i="4"/>
  <c r="S101" i="4"/>
  <c r="S102" i="4"/>
  <c r="S103" i="4"/>
  <c r="S104" i="4"/>
  <c r="S105" i="4"/>
  <c r="S106" i="4"/>
  <c r="S107" i="4"/>
  <c r="S108" i="4"/>
  <c r="S109" i="4"/>
  <c r="S110" i="4"/>
  <c r="S111" i="4"/>
  <c r="S112" i="4"/>
  <c r="S113" i="4"/>
  <c r="S114" i="4"/>
  <c r="S115" i="4"/>
  <c r="S116" i="4"/>
  <c r="S117" i="4"/>
  <c r="S118" i="4"/>
  <c r="S119" i="4"/>
  <c r="S120" i="4"/>
  <c r="S121" i="4"/>
  <c r="S122" i="4"/>
  <c r="S123" i="4"/>
  <c r="S124" i="4"/>
  <c r="S125" i="4"/>
  <c r="S126" i="4"/>
  <c r="S127" i="4"/>
  <c r="S128" i="4"/>
  <c r="S129" i="4"/>
  <c r="S130" i="4"/>
  <c r="S131" i="4"/>
  <c r="S132" i="4"/>
  <c r="S133" i="4"/>
  <c r="S134" i="4"/>
  <c r="S135" i="4"/>
  <c r="S136" i="4"/>
  <c r="S137" i="4"/>
  <c r="S138" i="4"/>
  <c r="S139" i="4"/>
  <c r="S140" i="4"/>
  <c r="S141" i="4"/>
  <c r="S142" i="4"/>
  <c r="S143" i="4"/>
  <c r="S144" i="4"/>
  <c r="S192" i="4"/>
  <c r="S193" i="4"/>
  <c r="S194" i="4"/>
  <c r="S195" i="4"/>
  <c r="S196" i="4"/>
  <c r="S197" i="4"/>
  <c r="S198" i="4"/>
  <c r="S199" i="4"/>
  <c r="S200" i="4"/>
  <c r="S201" i="4"/>
  <c r="S202" i="4"/>
  <c r="S203" i="4"/>
  <c r="S204" i="4"/>
  <c r="S205" i="4"/>
  <c r="S206" i="4"/>
  <c r="S207" i="4"/>
  <c r="S208" i="4"/>
  <c r="S209" i="4"/>
  <c r="S210" i="4"/>
  <c r="S211" i="4"/>
  <c r="S212" i="4"/>
  <c r="S213" i="4"/>
  <c r="S214" i="4"/>
  <c r="S215" i="4"/>
  <c r="S216" i="4"/>
  <c r="S217" i="4"/>
  <c r="S218" i="4"/>
  <c r="S219" i="4"/>
  <c r="S220" i="4"/>
  <c r="S221" i="4"/>
  <c r="S222" i="4"/>
  <c r="S223" i="4"/>
  <c r="S224" i="4"/>
  <c r="S225" i="4"/>
  <c r="S226" i="4"/>
  <c r="S227" i="4"/>
  <c r="S228" i="4"/>
  <c r="S229" i="4"/>
  <c r="S230" i="4"/>
  <c r="S231" i="4"/>
  <c r="S232" i="4"/>
  <c r="S233" i="4"/>
  <c r="S234" i="4"/>
  <c r="S235" i="4"/>
  <c r="S236" i="4"/>
  <c r="S237" i="4"/>
  <c r="S238" i="4"/>
  <c r="S239" i="4"/>
  <c r="S240" i="4"/>
  <c r="S241" i="4"/>
  <c r="S242" i="4"/>
  <c r="S243" i="4"/>
  <c r="S244" i="4"/>
  <c r="S245" i="4"/>
  <c r="S246" i="4"/>
  <c r="S247" i="4"/>
  <c r="S248" i="4"/>
  <c r="S249" i="4"/>
  <c r="S250" i="4"/>
  <c r="S251" i="4"/>
  <c r="S252" i="4"/>
  <c r="S253" i="4"/>
  <c r="S254" i="4"/>
  <c r="S255" i="4"/>
  <c r="S256" i="4"/>
  <c r="S257" i="4"/>
  <c r="S258" i="4"/>
  <c r="S259" i="4"/>
  <c r="S260" i="4"/>
  <c r="S261" i="4"/>
  <c r="S262" i="4"/>
  <c r="S263" i="4"/>
  <c r="S264" i="4"/>
  <c r="S265" i="4"/>
  <c r="S266" i="4"/>
  <c r="S267" i="4"/>
  <c r="S268" i="4"/>
  <c r="S269" i="4"/>
  <c r="S270" i="4"/>
  <c r="S271" i="4"/>
  <c r="S272" i="4"/>
  <c r="S273" i="4"/>
  <c r="S274" i="4"/>
  <c r="S275" i="4"/>
  <c r="S276" i="4"/>
  <c r="S277" i="4"/>
  <c r="S278" i="4"/>
  <c r="S279" i="4"/>
  <c r="S280" i="4"/>
  <c r="S281" i="4"/>
  <c r="S282" i="4"/>
  <c r="S283" i="4"/>
  <c r="S284" i="4"/>
  <c r="S285" i="4"/>
  <c r="S286" i="4"/>
  <c r="S287" i="4"/>
  <c r="S288" i="4"/>
  <c r="S289" i="4"/>
  <c r="S290" i="4"/>
  <c r="S291" i="4"/>
  <c r="S292" i="4"/>
  <c r="S293" i="4"/>
  <c r="S294" i="4"/>
  <c r="S317" i="4"/>
  <c r="S318" i="4"/>
  <c r="S319" i="4"/>
  <c r="S320" i="4"/>
  <c r="S321" i="4"/>
  <c r="S322" i="4"/>
  <c r="S323" i="4"/>
  <c r="S324" i="4"/>
  <c r="S325" i="4"/>
  <c r="S326" i="4"/>
  <c r="S327" i="4"/>
  <c r="S328" i="4"/>
  <c r="S329" i="4"/>
  <c r="S330" i="4"/>
  <c r="S331" i="4"/>
  <c r="S332" i="4"/>
  <c r="S333" i="4"/>
  <c r="S334" i="4"/>
  <c r="S335" i="4"/>
  <c r="S336" i="4"/>
  <c r="S337" i="4"/>
  <c r="S338" i="4"/>
  <c r="S339" i="4"/>
  <c r="S340" i="4"/>
  <c r="S341" i="4"/>
  <c r="S342" i="4"/>
  <c r="S343" i="4"/>
  <c r="S344" i="4"/>
  <c r="S345" i="4"/>
  <c r="S346" i="4"/>
  <c r="S347" i="4"/>
  <c r="S354" i="4"/>
  <c r="S355" i="4"/>
  <c r="S356" i="4"/>
  <c r="S357" i="4"/>
  <c r="S358" i="4"/>
  <c r="S359" i="4"/>
  <c r="S360" i="4"/>
  <c r="S361" i="4"/>
  <c r="S362" i="4"/>
  <c r="S363" i="4"/>
  <c r="S364" i="4"/>
  <c r="S365" i="4"/>
  <c r="S366" i="4"/>
  <c r="S367" i="4"/>
  <c r="S368" i="4"/>
  <c r="S369" i="4"/>
  <c r="S370" i="4"/>
  <c r="S371" i="4"/>
  <c r="S372" i="4"/>
  <c r="S373" i="4"/>
  <c r="S374" i="4"/>
  <c r="S375" i="4"/>
  <c r="S376" i="4"/>
  <c r="S377" i="4"/>
  <c r="S378" i="4"/>
  <c r="S379" i="4"/>
  <c r="S380" i="4"/>
  <c r="S381" i="4"/>
  <c r="S382" i="4"/>
  <c r="S383" i="4"/>
  <c r="S384" i="4"/>
  <c r="S385" i="4"/>
  <c r="S386" i="4"/>
  <c r="S387" i="4"/>
  <c r="S388" i="4"/>
  <c r="S389" i="4"/>
  <c r="S390" i="4"/>
  <c r="S391" i="4"/>
  <c r="S392" i="4"/>
  <c r="S393" i="4"/>
  <c r="S394" i="4"/>
  <c r="S395" i="4"/>
  <c r="S396" i="4"/>
  <c r="S397" i="4"/>
  <c r="S398" i="4"/>
  <c r="S399" i="4"/>
  <c r="S400" i="4"/>
  <c r="S401" i="4"/>
  <c r="S402" i="4"/>
  <c r="S403" i="4"/>
  <c r="S404" i="4"/>
  <c r="S405" i="4"/>
  <c r="S406" i="4"/>
  <c r="S407" i="4"/>
  <c r="S408" i="4"/>
  <c r="S409" i="4"/>
  <c r="S410" i="4"/>
  <c r="S411" i="4"/>
  <c r="S412" i="4"/>
  <c r="S413" i="4"/>
  <c r="S414" i="4"/>
  <c r="S415" i="4"/>
  <c r="S416" i="4"/>
  <c r="S417" i="4"/>
  <c r="S418" i="4"/>
  <c r="S419" i="4"/>
  <c r="S420" i="4"/>
  <c r="S421" i="4"/>
  <c r="S422" i="4"/>
  <c r="S423" i="4"/>
  <c r="S424" i="4"/>
  <c r="S425" i="4"/>
  <c r="S426" i="4"/>
  <c r="S427" i="4"/>
  <c r="S428" i="4"/>
  <c r="S429" i="4"/>
  <c r="S430" i="4"/>
  <c r="S431" i="4"/>
  <c r="S432" i="4"/>
  <c r="S433" i="4"/>
  <c r="S437" i="4"/>
  <c r="S463" i="4"/>
  <c r="S464" i="4"/>
  <c r="S465" i="4"/>
  <c r="S466" i="4"/>
  <c r="S467" i="4"/>
  <c r="S468" i="4"/>
  <c r="S469" i="4"/>
  <c r="S470" i="4"/>
  <c r="S471" i="4"/>
  <c r="S472" i="4"/>
  <c r="S473" i="4"/>
  <c r="S474" i="4"/>
  <c r="S475" i="4"/>
  <c r="S476" i="4"/>
  <c r="S477" i="4"/>
  <c r="S478" i="4"/>
  <c r="S479" i="4"/>
  <c r="S480" i="4"/>
  <c r="S481" i="4"/>
  <c r="S482" i="4"/>
  <c r="S483" i="4"/>
  <c r="S484" i="4"/>
  <c r="S485" i="4"/>
  <c r="S486" i="4"/>
  <c r="S487" i="4"/>
  <c r="S488" i="4"/>
  <c r="S489" i="4"/>
  <c r="S490" i="4"/>
  <c r="S491" i="4"/>
  <c r="S492" i="4"/>
  <c r="S493" i="4"/>
  <c r="S494" i="4"/>
  <c r="S495" i="4"/>
  <c r="S496" i="4"/>
  <c r="S497" i="4"/>
  <c r="S498" i="4"/>
  <c r="S499" i="4"/>
  <c r="S500" i="4"/>
  <c r="S501" i="4"/>
  <c r="S502" i="4"/>
  <c r="S503" i="4"/>
  <c r="S537" i="4"/>
  <c r="S538" i="4"/>
  <c r="S539" i="4"/>
  <c r="S540" i="4"/>
  <c r="S541" i="4"/>
  <c r="S542" i="4"/>
  <c r="S543" i="4"/>
  <c r="S544" i="4"/>
  <c r="S545" i="4"/>
  <c r="S546" i="4"/>
  <c r="S547" i="4"/>
  <c r="S548" i="4"/>
  <c r="S549" i="4"/>
  <c r="S550" i="4"/>
  <c r="S551" i="4"/>
  <c r="S552" i="4"/>
  <c r="S553" i="4"/>
  <c r="S554" i="4"/>
  <c r="S555" i="4"/>
  <c r="S556" i="4"/>
  <c r="S557" i="4"/>
  <c r="S558" i="4"/>
  <c r="S559" i="4"/>
  <c r="S560" i="4"/>
  <c r="S561" i="4"/>
  <c r="S562" i="4"/>
  <c r="S563" i="4"/>
  <c r="S564" i="4"/>
  <c r="S565" i="4"/>
  <c r="S566" i="4"/>
  <c r="S567" i="4"/>
  <c r="S568" i="4"/>
  <c r="S569" i="4"/>
  <c r="S570" i="4"/>
  <c r="S571" i="4"/>
  <c r="S572" i="4"/>
  <c r="S573" i="4"/>
  <c r="S574" i="4"/>
  <c r="S575" i="4"/>
  <c r="S576" i="4"/>
  <c r="S577" i="4"/>
  <c r="S578" i="4"/>
  <c r="S579" i="4"/>
  <c r="S580" i="4"/>
  <c r="S581" i="4"/>
  <c r="S582" i="4"/>
  <c r="S583" i="4"/>
  <c r="S584" i="4"/>
  <c r="S585" i="4"/>
  <c r="S586" i="4"/>
  <c r="S587" i="4"/>
  <c r="S588" i="4"/>
  <c r="S589" i="4"/>
  <c r="S590" i="4"/>
  <c r="S591" i="4"/>
  <c r="S592" i="4"/>
  <c r="S593" i="4"/>
  <c r="S594" i="4"/>
  <c r="S595" i="4"/>
  <c r="S596" i="4"/>
  <c r="S597" i="4"/>
  <c r="S598" i="4"/>
  <c r="S599" i="4"/>
  <c r="S600" i="4"/>
  <c r="S601" i="4"/>
  <c r="S602" i="4"/>
  <c r="S603" i="4"/>
  <c r="S604" i="4"/>
  <c r="S605" i="4"/>
  <c r="S606" i="4"/>
  <c r="S607" i="4"/>
  <c r="S608" i="4"/>
  <c r="S609" i="4"/>
  <c r="S610" i="4"/>
  <c r="S611" i="4"/>
  <c r="S612" i="4"/>
  <c r="S613" i="4"/>
  <c r="S614" i="4"/>
  <c r="S615" i="4"/>
  <c r="S616" i="4"/>
  <c r="S617" i="4"/>
  <c r="S618" i="4"/>
  <c r="S619" i="4"/>
  <c r="S620" i="4"/>
  <c r="S621" i="4"/>
  <c r="S622" i="4"/>
  <c r="S623" i="4"/>
  <c r="S624" i="4"/>
  <c r="S625" i="4"/>
  <c r="S626" i="4"/>
  <c r="S627" i="4"/>
  <c r="S628" i="4"/>
  <c r="S629" i="4"/>
  <c r="S630" i="4"/>
  <c r="S631" i="4"/>
  <c r="S632" i="4"/>
  <c r="S633" i="4"/>
  <c r="S3" i="4"/>
  <c r="Q4" i="4"/>
  <c r="R4" i="4" s="1"/>
  <c r="Q5" i="4"/>
  <c r="Q6" i="4"/>
  <c r="Q7" i="4"/>
  <c r="R7" i="4" s="1"/>
  <c r="Q8" i="4"/>
  <c r="R8" i="4" s="1"/>
  <c r="Q9" i="4"/>
  <c r="R9" i="4" s="1"/>
  <c r="Q10" i="4"/>
  <c r="R10" i="4" s="1"/>
  <c r="Q11" i="4"/>
  <c r="R11" i="4" s="1"/>
  <c r="Q12" i="4"/>
  <c r="R12" i="4" s="1"/>
  <c r="Q13" i="4"/>
  <c r="Q14" i="4"/>
  <c r="Q15" i="4"/>
  <c r="R15" i="4" s="1"/>
  <c r="Q16" i="4"/>
  <c r="Q17" i="4"/>
  <c r="Q18" i="4"/>
  <c r="R18" i="4" s="1"/>
  <c r="Q19" i="4"/>
  <c r="R19" i="4" s="1"/>
  <c r="Q20" i="4"/>
  <c r="T20" i="4" s="1"/>
  <c r="Q21" i="4"/>
  <c r="R21" i="4" s="1"/>
  <c r="Q22" i="4"/>
  <c r="R22" i="4" s="1"/>
  <c r="Q23" i="4"/>
  <c r="R23" i="4" s="1"/>
  <c r="Q24" i="4"/>
  <c r="R24" i="4" s="1"/>
  <c r="Q25" i="4"/>
  <c r="Q26" i="4"/>
  <c r="Q27" i="4"/>
  <c r="R27" i="4" s="1"/>
  <c r="Q28" i="4"/>
  <c r="R28" i="4" s="1"/>
  <c r="Q29" i="4"/>
  <c r="R29" i="4" s="1"/>
  <c r="Q30" i="4"/>
  <c r="R30" i="4" s="1"/>
  <c r="Q31" i="4"/>
  <c r="R31" i="4" s="1"/>
  <c r="Q32" i="4"/>
  <c r="R32" i="4" s="1"/>
  <c r="Q33" i="4"/>
  <c r="Q34" i="4"/>
  <c r="Q35" i="4"/>
  <c r="R35" i="4" s="1"/>
  <c r="Q36" i="4"/>
  <c r="Q37" i="4"/>
  <c r="Q38" i="4"/>
  <c r="R38" i="4" s="1"/>
  <c r="Q39" i="4"/>
  <c r="R39" i="4" s="1"/>
  <c r="Q40" i="4"/>
  <c r="Q41" i="4"/>
  <c r="R41" i="4" s="1"/>
  <c r="Q42" i="4"/>
  <c r="R42" i="4" s="1"/>
  <c r="Q43" i="4"/>
  <c r="R43" i="4" s="1"/>
  <c r="Q44" i="4"/>
  <c r="R44" i="4" s="1"/>
  <c r="Q45" i="4"/>
  <c r="Q46" i="4"/>
  <c r="Q47" i="4"/>
  <c r="R47" i="4" s="1"/>
  <c r="Q48" i="4"/>
  <c r="R48" i="4" s="1"/>
  <c r="Q49" i="4"/>
  <c r="R49" i="4" s="1"/>
  <c r="Q50" i="4"/>
  <c r="R50" i="4" s="1"/>
  <c r="Q51" i="4"/>
  <c r="R51" i="4" s="1"/>
  <c r="Q52" i="4"/>
  <c r="R52" i="4" s="1"/>
  <c r="Q53" i="4"/>
  <c r="Q54" i="4"/>
  <c r="Q55" i="4"/>
  <c r="R55" i="4" s="1"/>
  <c r="Q56" i="4"/>
  <c r="Q57" i="4"/>
  <c r="Q58" i="4"/>
  <c r="R58" i="4" s="1"/>
  <c r="Q59" i="4"/>
  <c r="R59" i="4" s="1"/>
  <c r="Q60" i="4"/>
  <c r="T60" i="4" s="1"/>
  <c r="Q61" i="4"/>
  <c r="R61" i="4" s="1"/>
  <c r="Q62" i="4"/>
  <c r="R62" i="4" s="1"/>
  <c r="Q63" i="4"/>
  <c r="R63" i="4" s="1"/>
  <c r="Q64" i="4"/>
  <c r="R64" i="4" s="1"/>
  <c r="Q65" i="4"/>
  <c r="Q66" i="4"/>
  <c r="Q67" i="4"/>
  <c r="R67" i="4" s="1"/>
  <c r="Q68" i="4"/>
  <c r="R68" i="4" s="1"/>
  <c r="Q69" i="4"/>
  <c r="R69" i="4" s="1"/>
  <c r="Q70" i="4"/>
  <c r="T70" i="4" s="1"/>
  <c r="Q71" i="4"/>
  <c r="R71" i="4" s="1"/>
  <c r="Q72" i="4"/>
  <c r="R72" i="4" s="1"/>
  <c r="Q73" i="4"/>
  <c r="Q74" i="4"/>
  <c r="Q75" i="4"/>
  <c r="R75" i="4" s="1"/>
  <c r="Q76" i="4"/>
  <c r="T76" i="4" s="1"/>
  <c r="U76" i="4" s="1"/>
  <c r="Q77" i="4"/>
  <c r="Q78" i="4"/>
  <c r="R78" i="4" s="1"/>
  <c r="Q79" i="4"/>
  <c r="R79" i="4" s="1"/>
  <c r="Q80" i="4"/>
  <c r="Q81" i="4"/>
  <c r="R81" i="4" s="1"/>
  <c r="Q82" i="4"/>
  <c r="R82" i="4" s="1"/>
  <c r="Q83" i="4"/>
  <c r="R83" i="4" s="1"/>
  <c r="Q84" i="4"/>
  <c r="R84" i="4" s="1"/>
  <c r="Q85" i="4"/>
  <c r="Q86" i="4"/>
  <c r="Q87" i="4"/>
  <c r="R87" i="4" s="1"/>
  <c r="Q88" i="4"/>
  <c r="R88" i="4" s="1"/>
  <c r="Q89" i="4"/>
  <c r="R89" i="4" s="1"/>
  <c r="Q90" i="4"/>
  <c r="R90" i="4" s="1"/>
  <c r="Q91" i="4"/>
  <c r="R91" i="4" s="1"/>
  <c r="Q92" i="4"/>
  <c r="R92" i="4" s="1"/>
  <c r="Q93" i="4"/>
  <c r="Q94" i="4"/>
  <c r="Q95" i="4"/>
  <c r="R95" i="4" s="1"/>
  <c r="Q96" i="4"/>
  <c r="Q97" i="4"/>
  <c r="Q98" i="4"/>
  <c r="R98" i="4" s="1"/>
  <c r="Q99" i="4"/>
  <c r="R99" i="4" s="1"/>
  <c r="Q100" i="4"/>
  <c r="Q101" i="4"/>
  <c r="R101" i="4" s="1"/>
  <c r="Q102" i="4"/>
  <c r="R102" i="4" s="1"/>
  <c r="Q103" i="4"/>
  <c r="R103" i="4" s="1"/>
  <c r="Q104" i="4"/>
  <c r="R104" i="4" s="1"/>
  <c r="Q105" i="4"/>
  <c r="Q106" i="4"/>
  <c r="Q107" i="4"/>
  <c r="R107" i="4" s="1"/>
  <c r="Q108" i="4"/>
  <c r="R108" i="4" s="1"/>
  <c r="Q109" i="4"/>
  <c r="R109" i="4" s="1"/>
  <c r="Q110" i="4"/>
  <c r="R110" i="4" s="1"/>
  <c r="Q111" i="4"/>
  <c r="R111" i="4" s="1"/>
  <c r="Q112" i="4"/>
  <c r="R112" i="4" s="1"/>
  <c r="Q113" i="4"/>
  <c r="Q114" i="4"/>
  <c r="Q115" i="4"/>
  <c r="R115" i="4" s="1"/>
  <c r="Q116" i="4"/>
  <c r="T116" i="4" s="1"/>
  <c r="U116" i="4" s="1"/>
  <c r="Q117" i="4"/>
  <c r="Q118" i="4"/>
  <c r="R118" i="4" s="1"/>
  <c r="Q119" i="4"/>
  <c r="R119" i="4" s="1"/>
  <c r="Q120" i="4"/>
  <c r="Q121" i="4"/>
  <c r="R121" i="4" s="1"/>
  <c r="Q122" i="4"/>
  <c r="R122" i="4" s="1"/>
  <c r="Q123" i="4"/>
  <c r="R123" i="4" s="1"/>
  <c r="Q124" i="4"/>
  <c r="R124" i="4" s="1"/>
  <c r="Q125" i="4"/>
  <c r="T125" i="4" s="1"/>
  <c r="U125" i="4" s="1"/>
  <c r="Q126" i="4"/>
  <c r="Q127" i="4"/>
  <c r="R127" i="4" s="1"/>
  <c r="Q128" i="4"/>
  <c r="R128" i="4" s="1"/>
  <c r="Q129" i="4"/>
  <c r="R129" i="4" s="1"/>
  <c r="Q130" i="4"/>
  <c r="T130" i="4" s="1"/>
  <c r="Q131" i="4"/>
  <c r="R131" i="4" s="1"/>
  <c r="Q132" i="4"/>
  <c r="R132" i="4" s="1"/>
  <c r="Q133" i="4"/>
  <c r="Q134" i="4"/>
  <c r="Q135" i="4"/>
  <c r="R135" i="4" s="1"/>
  <c r="Q136" i="4"/>
  <c r="Q137" i="4"/>
  <c r="Q138" i="4"/>
  <c r="R138" i="4" s="1"/>
  <c r="Q139" i="4"/>
  <c r="R139" i="4" s="1"/>
  <c r="Q140" i="4"/>
  <c r="Q141" i="4"/>
  <c r="R141" i="4" s="1"/>
  <c r="Q142" i="4"/>
  <c r="R142" i="4" s="1"/>
  <c r="Q143" i="4"/>
  <c r="R143" i="4" s="1"/>
  <c r="Q144" i="4"/>
  <c r="R144" i="4" s="1"/>
  <c r="Q192" i="4"/>
  <c r="Q193" i="4"/>
  <c r="Q194" i="4"/>
  <c r="R194" i="4" s="1"/>
  <c r="Q195" i="4"/>
  <c r="R195" i="4" s="1"/>
  <c r="Q196" i="4"/>
  <c r="R196" i="4" s="1"/>
  <c r="Q197" i="4"/>
  <c r="R197" i="4" s="1"/>
  <c r="Q198" i="4"/>
  <c r="R198" i="4" s="1"/>
  <c r="Q199" i="4"/>
  <c r="R199" i="4" s="1"/>
  <c r="Q200" i="4"/>
  <c r="Q201" i="4"/>
  <c r="Q202" i="4"/>
  <c r="T202" i="4" s="1"/>
  <c r="Q203" i="4"/>
  <c r="Q204" i="4"/>
  <c r="Q205" i="4"/>
  <c r="R205" i="4" s="1"/>
  <c r="Q206" i="4"/>
  <c r="R206" i="4" s="1"/>
  <c r="Q207" i="4"/>
  <c r="Q208" i="4"/>
  <c r="R208" i="4" s="1"/>
  <c r="Q209" i="4"/>
  <c r="R209" i="4" s="1"/>
  <c r="Q210" i="4"/>
  <c r="R210" i="4" s="1"/>
  <c r="Q211" i="4"/>
  <c r="R211" i="4" s="1"/>
  <c r="Q212" i="4"/>
  <c r="Q213" i="4"/>
  <c r="Q214" i="4"/>
  <c r="R214" i="4" s="1"/>
  <c r="Q215" i="4"/>
  <c r="R215" i="4" s="1"/>
  <c r="Q216" i="4"/>
  <c r="R216" i="4" s="1"/>
  <c r="Q217" i="4"/>
  <c r="R217" i="4" s="1"/>
  <c r="Q218" i="4"/>
  <c r="R218" i="4" s="1"/>
  <c r="Q219" i="4"/>
  <c r="R219" i="4" s="1"/>
  <c r="Q220" i="4"/>
  <c r="Q221" i="4"/>
  <c r="Q222" i="4"/>
  <c r="R222" i="4" s="1"/>
  <c r="Q223" i="4"/>
  <c r="Q224" i="4"/>
  <c r="Q225" i="4"/>
  <c r="R225" i="4" s="1"/>
  <c r="Q226" i="4"/>
  <c r="T226" i="4" s="1"/>
  <c r="Q227" i="4"/>
  <c r="Q228" i="4"/>
  <c r="R228" i="4" s="1"/>
  <c r="Q229" i="4"/>
  <c r="R229" i="4" s="1"/>
  <c r="Q230" i="4"/>
  <c r="R230" i="4" s="1"/>
  <c r="Q231" i="4"/>
  <c r="R231" i="4" s="1"/>
  <c r="Q232" i="4"/>
  <c r="Q233" i="4"/>
  <c r="Q234" i="4"/>
  <c r="R234" i="4" s="1"/>
  <c r="Q235" i="4"/>
  <c r="R235" i="4" s="1"/>
  <c r="Q236" i="4"/>
  <c r="R236" i="4" s="1"/>
  <c r="Q237" i="4"/>
  <c r="R237" i="4" s="1"/>
  <c r="Q238" i="4"/>
  <c r="R238" i="4" s="1"/>
  <c r="Q239" i="4"/>
  <c r="R239" i="4" s="1"/>
  <c r="Q240" i="4"/>
  <c r="Q241" i="4"/>
  <c r="Q242" i="4"/>
  <c r="T242" i="4" s="1"/>
  <c r="Q243" i="4"/>
  <c r="Q244" i="4"/>
  <c r="Q245" i="4"/>
  <c r="R245" i="4" s="1"/>
  <c r="Q246" i="4"/>
  <c r="R246" i="4" s="1"/>
  <c r="Q247" i="4"/>
  <c r="Q248" i="4"/>
  <c r="R248" i="4" s="1"/>
  <c r="Q249" i="4"/>
  <c r="R249" i="4" s="1"/>
  <c r="Q250" i="4"/>
  <c r="R250" i="4" s="1"/>
  <c r="Q251" i="4"/>
  <c r="T251" i="4" s="1"/>
  <c r="Q252" i="4"/>
  <c r="Q253" i="4"/>
  <c r="Q254" i="4"/>
  <c r="R254" i="4" s="1"/>
  <c r="Q255" i="4"/>
  <c r="R255" i="4" s="1"/>
  <c r="Q256" i="4"/>
  <c r="T256" i="4" s="1"/>
  <c r="Q257" i="4"/>
  <c r="R257" i="4" s="1"/>
  <c r="Q258" i="4"/>
  <c r="R258" i="4" s="1"/>
  <c r="Q259" i="4"/>
  <c r="R259" i="4" s="1"/>
  <c r="Q260" i="4"/>
  <c r="R260" i="4" s="1"/>
  <c r="Q261" i="4"/>
  <c r="Q262" i="4"/>
  <c r="R262" i="4" s="1"/>
  <c r="Q263" i="4"/>
  <c r="R263" i="4" s="1"/>
  <c r="Q264" i="4"/>
  <c r="R264" i="4" s="1"/>
  <c r="Q265" i="4"/>
  <c r="R265" i="4" s="1"/>
  <c r="Q266" i="4"/>
  <c r="R266" i="4" s="1"/>
  <c r="Q267" i="4"/>
  <c r="R267" i="4" s="1"/>
  <c r="Q268" i="4"/>
  <c r="R268" i="4" s="1"/>
  <c r="Q269" i="4"/>
  <c r="R269" i="4" s="1"/>
  <c r="Q270" i="4"/>
  <c r="R270" i="4" s="1"/>
  <c r="Q271" i="4"/>
  <c r="R271" i="4" s="1"/>
  <c r="Q272" i="4"/>
  <c r="R272" i="4" s="1"/>
  <c r="Q273" i="4"/>
  <c r="R273" i="4" s="1"/>
  <c r="Q274" i="4"/>
  <c r="R274" i="4" s="1"/>
  <c r="Q275" i="4"/>
  <c r="R275" i="4" s="1"/>
  <c r="Q276" i="4"/>
  <c r="R276" i="4" s="1"/>
  <c r="Q277" i="4"/>
  <c r="R277" i="4" s="1"/>
  <c r="Q278" i="4"/>
  <c r="R278" i="4" s="1"/>
  <c r="Q279" i="4"/>
  <c r="R279" i="4" s="1"/>
  <c r="Q280" i="4"/>
  <c r="R280" i="4" s="1"/>
  <c r="Q281" i="4"/>
  <c r="R281" i="4" s="1"/>
  <c r="Q282" i="4"/>
  <c r="R282" i="4" s="1"/>
  <c r="Q283" i="4"/>
  <c r="R283" i="4" s="1"/>
  <c r="Q284" i="4"/>
  <c r="R284" i="4" s="1"/>
  <c r="Q285" i="4"/>
  <c r="R285" i="4" s="1"/>
  <c r="Q286" i="4"/>
  <c r="R286" i="4" s="1"/>
  <c r="Q287" i="4"/>
  <c r="R287" i="4" s="1"/>
  <c r="Q288" i="4"/>
  <c r="R288" i="4" s="1"/>
  <c r="Q289" i="4"/>
  <c r="R289" i="4" s="1"/>
  <c r="Q290" i="4"/>
  <c r="R290" i="4" s="1"/>
  <c r="Q291" i="4"/>
  <c r="R291" i="4" s="1"/>
  <c r="Q292" i="4"/>
  <c r="R292" i="4" s="1"/>
  <c r="Q293" i="4"/>
  <c r="R293" i="4" s="1"/>
  <c r="X293" i="4" s="1"/>
  <c r="Q294" i="4"/>
  <c r="R294" i="4" s="1"/>
  <c r="Q317" i="4"/>
  <c r="R317" i="4" s="1"/>
  <c r="Q318" i="4"/>
  <c r="R318" i="4" s="1"/>
  <c r="Q319" i="4"/>
  <c r="R319" i="4" s="1"/>
  <c r="Q320" i="4"/>
  <c r="R320" i="4" s="1"/>
  <c r="Q321" i="4"/>
  <c r="R321" i="4" s="1"/>
  <c r="Q322" i="4"/>
  <c r="R322" i="4" s="1"/>
  <c r="Q323" i="4"/>
  <c r="R323" i="4" s="1"/>
  <c r="Q324" i="4"/>
  <c r="R324" i="4" s="1"/>
  <c r="Q325" i="4"/>
  <c r="R325" i="4" s="1"/>
  <c r="Q326" i="4"/>
  <c r="T326" i="4" s="1"/>
  <c r="Q327" i="4"/>
  <c r="R327" i="4" s="1"/>
  <c r="Q328" i="4"/>
  <c r="R328" i="4" s="1"/>
  <c r="Q329" i="4"/>
  <c r="R329" i="4" s="1"/>
  <c r="Q330" i="4"/>
  <c r="R330" i="4" s="1"/>
  <c r="Q331" i="4"/>
  <c r="R331" i="4" s="1"/>
  <c r="Q332" i="4"/>
  <c r="R332" i="4" s="1"/>
  <c r="Q333" i="4"/>
  <c r="R333" i="4" s="1"/>
  <c r="Q334" i="4"/>
  <c r="R334" i="4" s="1"/>
  <c r="Q335" i="4"/>
  <c r="R335" i="4" s="1"/>
  <c r="Q336" i="4"/>
  <c r="R336" i="4" s="1"/>
  <c r="Q337" i="4"/>
  <c r="R337" i="4" s="1"/>
  <c r="Q338" i="4"/>
  <c r="R338" i="4" s="1"/>
  <c r="Q339" i="4"/>
  <c r="R339" i="4" s="1"/>
  <c r="Q340" i="4"/>
  <c r="R340" i="4" s="1"/>
  <c r="Q341" i="4"/>
  <c r="R341" i="4" s="1"/>
  <c r="Q342" i="4"/>
  <c r="T342" i="4" s="1"/>
  <c r="Q343" i="4"/>
  <c r="R343" i="4" s="1"/>
  <c r="Q344" i="4"/>
  <c r="R344" i="4" s="1"/>
  <c r="Q345" i="4"/>
  <c r="R345" i="4" s="1"/>
  <c r="Q346" i="4"/>
  <c r="R346" i="4" s="1"/>
  <c r="Q347" i="4"/>
  <c r="R347" i="4" s="1"/>
  <c r="Q348" i="4"/>
  <c r="R348" i="4" s="1"/>
  <c r="Q354" i="4"/>
  <c r="R354" i="4" s="1"/>
  <c r="Q355" i="4"/>
  <c r="R355" i="4" s="1"/>
  <c r="Q356" i="4"/>
  <c r="R356" i="4" s="1"/>
  <c r="Q357" i="4"/>
  <c r="R357" i="4" s="1"/>
  <c r="Q358" i="4"/>
  <c r="R358" i="4" s="1"/>
  <c r="Q359" i="4"/>
  <c r="R359" i="4" s="1"/>
  <c r="Q360" i="4"/>
  <c r="R360" i="4" s="1"/>
  <c r="Q361" i="4"/>
  <c r="R361" i="4" s="1"/>
  <c r="Q362" i="4"/>
  <c r="R362" i="4" s="1"/>
  <c r="Q363" i="4"/>
  <c r="R363" i="4" s="1"/>
  <c r="Q364" i="4"/>
  <c r="R364" i="4" s="1"/>
  <c r="Q365" i="4"/>
  <c r="R365" i="4" s="1"/>
  <c r="Q366" i="4"/>
  <c r="R366" i="4" s="1"/>
  <c r="Q367" i="4"/>
  <c r="R367" i="4" s="1"/>
  <c r="Q368" i="4"/>
  <c r="R368" i="4" s="1"/>
  <c r="Q369" i="4"/>
  <c r="R369" i="4" s="1"/>
  <c r="Q370" i="4"/>
  <c r="R370" i="4" s="1"/>
  <c r="Q371" i="4"/>
  <c r="R371" i="4" s="1"/>
  <c r="Q372" i="4"/>
  <c r="R372" i="4" s="1"/>
  <c r="Q373" i="4"/>
  <c r="R373" i="4" s="1"/>
  <c r="Q374" i="4"/>
  <c r="R374" i="4" s="1"/>
  <c r="Q375" i="4"/>
  <c r="R375" i="4" s="1"/>
  <c r="Q376" i="4"/>
  <c r="R376" i="4" s="1"/>
  <c r="Q377" i="4"/>
  <c r="R377" i="4" s="1"/>
  <c r="Q378" i="4"/>
  <c r="R378" i="4" s="1"/>
  <c r="Q379" i="4"/>
  <c r="R379" i="4" s="1"/>
  <c r="Q380" i="4"/>
  <c r="R380" i="4" s="1"/>
  <c r="Q381" i="4"/>
  <c r="R381" i="4" s="1"/>
  <c r="Q382" i="4"/>
  <c r="R382" i="4" s="1"/>
  <c r="Q383" i="4"/>
  <c r="R383" i="4" s="1"/>
  <c r="Q384" i="4"/>
  <c r="R384" i="4" s="1"/>
  <c r="Q385" i="4"/>
  <c r="R385" i="4" s="1"/>
  <c r="Q386" i="4"/>
  <c r="R386" i="4" s="1"/>
  <c r="Q387" i="4"/>
  <c r="R387" i="4" s="1"/>
  <c r="Q388" i="4"/>
  <c r="R388" i="4" s="1"/>
  <c r="Q389" i="4"/>
  <c r="R389" i="4" s="1"/>
  <c r="Q390" i="4"/>
  <c r="R390" i="4" s="1"/>
  <c r="Q391" i="4"/>
  <c r="R391" i="4" s="1"/>
  <c r="Q392" i="4"/>
  <c r="R392" i="4" s="1"/>
  <c r="Q393" i="4"/>
  <c r="R393" i="4" s="1"/>
  <c r="Q394" i="4"/>
  <c r="R394" i="4" s="1"/>
  <c r="Q395" i="4"/>
  <c r="R395" i="4" s="1"/>
  <c r="Q396" i="4"/>
  <c r="R396" i="4" s="1"/>
  <c r="Q397" i="4"/>
  <c r="R397" i="4" s="1"/>
  <c r="Q398" i="4"/>
  <c r="R398" i="4" s="1"/>
  <c r="Q399" i="4"/>
  <c r="R399" i="4" s="1"/>
  <c r="Q400" i="4"/>
  <c r="R400" i="4" s="1"/>
  <c r="Q401" i="4"/>
  <c r="R401" i="4" s="1"/>
  <c r="Q402" i="4"/>
  <c r="R402" i="4" s="1"/>
  <c r="Q403" i="4"/>
  <c r="R403" i="4" s="1"/>
  <c r="Q404" i="4"/>
  <c r="R404" i="4" s="1"/>
  <c r="Q405" i="4"/>
  <c r="R405" i="4" s="1"/>
  <c r="Q406" i="4"/>
  <c r="R406" i="4" s="1"/>
  <c r="Q407" i="4"/>
  <c r="R407" i="4" s="1"/>
  <c r="Q408" i="4"/>
  <c r="R408" i="4" s="1"/>
  <c r="Q409" i="4"/>
  <c r="R409" i="4" s="1"/>
  <c r="Q410" i="4"/>
  <c r="R410" i="4" s="1"/>
  <c r="Q411" i="4"/>
  <c r="R411" i="4" s="1"/>
  <c r="Q412" i="4"/>
  <c r="R412" i="4" s="1"/>
  <c r="Q413" i="4"/>
  <c r="R413" i="4" s="1"/>
  <c r="Q414" i="4"/>
  <c r="R414" i="4" s="1"/>
  <c r="Q415" i="4"/>
  <c r="R415" i="4" s="1"/>
  <c r="Q416" i="4"/>
  <c r="R416" i="4" s="1"/>
  <c r="Q417" i="4"/>
  <c r="R417" i="4" s="1"/>
  <c r="Q418" i="4"/>
  <c r="R418" i="4" s="1"/>
  <c r="Q419" i="4"/>
  <c r="R419" i="4" s="1"/>
  <c r="Q420" i="4"/>
  <c r="R420" i="4" s="1"/>
  <c r="Q421" i="4"/>
  <c r="R421" i="4" s="1"/>
  <c r="Q422" i="4"/>
  <c r="R422" i="4" s="1"/>
  <c r="Q423" i="4"/>
  <c r="R423" i="4" s="1"/>
  <c r="Q424" i="4"/>
  <c r="R424" i="4" s="1"/>
  <c r="Q425" i="4"/>
  <c r="R425" i="4" s="1"/>
  <c r="Q426" i="4"/>
  <c r="R426" i="4" s="1"/>
  <c r="Q427" i="4"/>
  <c r="R427" i="4" s="1"/>
  <c r="Q428" i="4"/>
  <c r="R428" i="4" s="1"/>
  <c r="Q429" i="4"/>
  <c r="R429" i="4" s="1"/>
  <c r="Q430" i="4"/>
  <c r="R430" i="4" s="1"/>
  <c r="Q431" i="4"/>
  <c r="R431" i="4" s="1"/>
  <c r="Q432" i="4"/>
  <c r="R432" i="4" s="1"/>
  <c r="Q433" i="4"/>
  <c r="R433" i="4" s="1"/>
  <c r="Q437" i="4"/>
  <c r="R437" i="4" s="1"/>
  <c r="Q463" i="4"/>
  <c r="R463" i="4" s="1"/>
  <c r="Q464" i="4"/>
  <c r="R464" i="4" s="1"/>
  <c r="Q465" i="4"/>
  <c r="R465" i="4" s="1"/>
  <c r="Q466" i="4"/>
  <c r="T466" i="4" s="1"/>
  <c r="Q467" i="4"/>
  <c r="R467" i="4" s="1"/>
  <c r="Q468" i="4"/>
  <c r="R468" i="4" s="1"/>
  <c r="Q469" i="4"/>
  <c r="R469" i="4" s="1"/>
  <c r="Q470" i="4"/>
  <c r="R470" i="4" s="1"/>
  <c r="Q471" i="4"/>
  <c r="R471" i="4" s="1"/>
  <c r="Q472" i="4"/>
  <c r="T472" i="4" s="1"/>
  <c r="Q473" i="4"/>
  <c r="R473" i="4" s="1"/>
  <c r="Q474" i="4"/>
  <c r="R474" i="4" s="1"/>
  <c r="Q475" i="4"/>
  <c r="R475" i="4" s="1"/>
  <c r="Q476" i="4"/>
  <c r="R476" i="4" s="1"/>
  <c r="Q477" i="4"/>
  <c r="R477" i="4" s="1"/>
  <c r="Q478" i="4"/>
  <c r="R478" i="4" s="1"/>
  <c r="Q479" i="4"/>
  <c r="R479" i="4" s="1"/>
  <c r="Q480" i="4"/>
  <c r="R480" i="4" s="1"/>
  <c r="Q481" i="4"/>
  <c r="T481" i="4" s="1"/>
  <c r="Q482" i="4"/>
  <c r="R482" i="4" s="1"/>
  <c r="Q483" i="4"/>
  <c r="R483" i="4" s="1"/>
  <c r="Q484" i="4"/>
  <c r="R484" i="4" s="1"/>
  <c r="Q485" i="4"/>
  <c r="R485" i="4" s="1"/>
  <c r="Q486" i="4"/>
  <c r="R486" i="4" s="1"/>
  <c r="Q487" i="4"/>
  <c r="R487" i="4" s="1"/>
  <c r="Q488" i="4"/>
  <c r="T488" i="4" s="1"/>
  <c r="Q489" i="4"/>
  <c r="R489" i="4" s="1"/>
  <c r="Q490" i="4"/>
  <c r="R490" i="4" s="1"/>
  <c r="Q491" i="4"/>
  <c r="R491" i="4" s="1"/>
  <c r="Q492" i="4"/>
  <c r="R492" i="4" s="1"/>
  <c r="Q493" i="4"/>
  <c r="R493" i="4" s="1"/>
  <c r="Q494" i="4"/>
  <c r="R494" i="4" s="1"/>
  <c r="Q495" i="4"/>
  <c r="R495" i="4" s="1"/>
  <c r="Q496" i="4"/>
  <c r="R496" i="4" s="1"/>
  <c r="Q497" i="4"/>
  <c r="R497" i="4" s="1"/>
  <c r="Q498" i="4"/>
  <c r="R498" i="4" s="1"/>
  <c r="Q499" i="4"/>
  <c r="R499" i="4" s="1"/>
  <c r="Q500" i="4"/>
  <c r="R500" i="4" s="1"/>
  <c r="Q501" i="4"/>
  <c r="T501" i="4" s="1"/>
  <c r="Q502" i="4"/>
  <c r="R502" i="4" s="1"/>
  <c r="Q503" i="4"/>
  <c r="R503" i="4" s="1"/>
  <c r="Q537" i="4"/>
  <c r="R537" i="4" s="1"/>
  <c r="Q538" i="4"/>
  <c r="R538" i="4" s="1"/>
  <c r="Q539" i="4"/>
  <c r="R539" i="4" s="1"/>
  <c r="Q540" i="4"/>
  <c r="R540" i="4" s="1"/>
  <c r="Q541" i="4"/>
  <c r="R541" i="4" s="1"/>
  <c r="Q542" i="4"/>
  <c r="R542" i="4" s="1"/>
  <c r="Q543" i="4"/>
  <c r="R543" i="4" s="1"/>
  <c r="Q544" i="4"/>
  <c r="R544" i="4" s="1"/>
  <c r="Q545" i="4"/>
  <c r="R545" i="4" s="1"/>
  <c r="Q546" i="4"/>
  <c r="R546" i="4" s="1"/>
  <c r="Q547" i="4"/>
  <c r="R547" i="4" s="1"/>
  <c r="Q548" i="4"/>
  <c r="R548" i="4" s="1"/>
  <c r="Q549" i="4"/>
  <c r="R549" i="4" s="1"/>
  <c r="Q550" i="4"/>
  <c r="R550" i="4" s="1"/>
  <c r="Q551" i="4"/>
  <c r="R551" i="4" s="1"/>
  <c r="Q552" i="4"/>
  <c r="R552" i="4" s="1"/>
  <c r="Q553" i="4"/>
  <c r="R553" i="4" s="1"/>
  <c r="Q554" i="4"/>
  <c r="R554" i="4" s="1"/>
  <c r="Q555" i="4"/>
  <c r="R555" i="4" s="1"/>
  <c r="Q556" i="4"/>
  <c r="R556" i="4" s="1"/>
  <c r="Q557" i="4"/>
  <c r="R557" i="4" s="1"/>
  <c r="Q558" i="4"/>
  <c r="R558" i="4" s="1"/>
  <c r="Q559" i="4"/>
  <c r="R559" i="4" s="1"/>
  <c r="Q560" i="4"/>
  <c r="R560" i="4" s="1"/>
  <c r="Q561" i="4"/>
  <c r="R561" i="4" s="1"/>
  <c r="Q562" i="4"/>
  <c r="R562" i="4" s="1"/>
  <c r="Q563" i="4"/>
  <c r="R563" i="4" s="1"/>
  <c r="Q564" i="4"/>
  <c r="R564" i="4" s="1"/>
  <c r="Q565" i="4"/>
  <c r="R565" i="4" s="1"/>
  <c r="Q566" i="4"/>
  <c r="R566" i="4" s="1"/>
  <c r="Q567" i="4"/>
  <c r="R567" i="4" s="1"/>
  <c r="Q568" i="4"/>
  <c r="R568" i="4" s="1"/>
  <c r="Q569" i="4"/>
  <c r="R569" i="4" s="1"/>
  <c r="Q570" i="4"/>
  <c r="R570" i="4" s="1"/>
  <c r="Q571" i="4"/>
  <c r="R571" i="4" s="1"/>
  <c r="Q572" i="4"/>
  <c r="R572" i="4" s="1"/>
  <c r="Q573" i="4"/>
  <c r="R573" i="4" s="1"/>
  <c r="Q574" i="4"/>
  <c r="R574" i="4" s="1"/>
  <c r="Q575" i="4"/>
  <c r="R575" i="4" s="1"/>
  <c r="Q576" i="4"/>
  <c r="R576" i="4" s="1"/>
  <c r="Q577" i="4"/>
  <c r="R577" i="4" s="1"/>
  <c r="Q578" i="4"/>
  <c r="R578" i="4" s="1"/>
  <c r="Q579" i="4"/>
  <c r="R579" i="4" s="1"/>
  <c r="Q580" i="4"/>
  <c r="R580" i="4" s="1"/>
  <c r="Q581" i="4"/>
  <c r="R581" i="4" s="1"/>
  <c r="Q582" i="4"/>
  <c r="R582" i="4" s="1"/>
  <c r="Q583" i="4"/>
  <c r="R583" i="4" s="1"/>
  <c r="Q584" i="4"/>
  <c r="R584" i="4" s="1"/>
  <c r="Q585" i="4"/>
  <c r="R585" i="4" s="1"/>
  <c r="Q586" i="4"/>
  <c r="R586" i="4" s="1"/>
  <c r="Q587" i="4"/>
  <c r="R587" i="4" s="1"/>
  <c r="Q588" i="4"/>
  <c r="R588" i="4" s="1"/>
  <c r="Q589" i="4"/>
  <c r="R589" i="4" s="1"/>
  <c r="Q590" i="4"/>
  <c r="R590" i="4" s="1"/>
  <c r="Q591" i="4"/>
  <c r="R591" i="4" s="1"/>
  <c r="Q592" i="4"/>
  <c r="R592" i="4" s="1"/>
  <c r="Q593" i="4"/>
  <c r="R593" i="4" s="1"/>
  <c r="Q594" i="4"/>
  <c r="R594" i="4" s="1"/>
  <c r="Q595" i="4"/>
  <c r="R595" i="4" s="1"/>
  <c r="Q596" i="4"/>
  <c r="R596" i="4" s="1"/>
  <c r="Q597" i="4"/>
  <c r="R597" i="4" s="1"/>
  <c r="Q598" i="4"/>
  <c r="R598" i="4" s="1"/>
  <c r="Q599" i="4"/>
  <c r="R599" i="4" s="1"/>
  <c r="Q600" i="4"/>
  <c r="R600" i="4" s="1"/>
  <c r="Q601" i="4"/>
  <c r="R601" i="4" s="1"/>
  <c r="Q602" i="4"/>
  <c r="R602" i="4" s="1"/>
  <c r="Q603" i="4"/>
  <c r="R603" i="4" s="1"/>
  <c r="Q604" i="4"/>
  <c r="R604" i="4" s="1"/>
  <c r="Q605" i="4"/>
  <c r="R605" i="4" s="1"/>
  <c r="Q606" i="4"/>
  <c r="R606" i="4" s="1"/>
  <c r="Q607" i="4"/>
  <c r="R607" i="4" s="1"/>
  <c r="Q608" i="4"/>
  <c r="R608" i="4" s="1"/>
  <c r="Q609" i="4"/>
  <c r="R609" i="4" s="1"/>
  <c r="Q610" i="4"/>
  <c r="R610" i="4" s="1"/>
  <c r="Q611" i="4"/>
  <c r="R611" i="4" s="1"/>
  <c r="Q612" i="4"/>
  <c r="R612" i="4" s="1"/>
  <c r="Q613" i="4"/>
  <c r="R613" i="4" s="1"/>
  <c r="Q614" i="4"/>
  <c r="R614" i="4" s="1"/>
  <c r="Q615" i="4"/>
  <c r="R615" i="4" s="1"/>
  <c r="Q616" i="4"/>
  <c r="R616" i="4" s="1"/>
  <c r="Q617" i="4"/>
  <c r="R617" i="4" s="1"/>
  <c r="Q618" i="4"/>
  <c r="R618" i="4" s="1"/>
  <c r="Q619" i="4"/>
  <c r="R619" i="4" s="1"/>
  <c r="Q620" i="4"/>
  <c r="R620" i="4" s="1"/>
  <c r="Q621" i="4"/>
  <c r="R621" i="4" s="1"/>
  <c r="Q622" i="4"/>
  <c r="R622" i="4" s="1"/>
  <c r="Q623" i="4"/>
  <c r="R623" i="4" s="1"/>
  <c r="Q624" i="4"/>
  <c r="R624" i="4" s="1"/>
  <c r="Q625" i="4"/>
  <c r="R625" i="4" s="1"/>
  <c r="Q626" i="4"/>
  <c r="R626" i="4" s="1"/>
  <c r="Q627" i="4"/>
  <c r="R627" i="4" s="1"/>
  <c r="Q628" i="4"/>
  <c r="R628" i="4" s="1"/>
  <c r="Q629" i="4"/>
  <c r="R629" i="4" s="1"/>
  <c r="Q630" i="4"/>
  <c r="R630" i="4" s="1"/>
  <c r="Q631" i="4"/>
  <c r="R631" i="4" s="1"/>
  <c r="Q632" i="4"/>
  <c r="R632" i="4" s="1"/>
  <c r="Q633" i="4"/>
  <c r="R633" i="4" s="1"/>
  <c r="Q3" i="4"/>
  <c r="R3" i="4" s="1"/>
  <c r="U685" i="4" l="1"/>
  <c r="V685" i="4"/>
  <c r="W685" i="4" s="1"/>
  <c r="V686" i="4"/>
  <c r="W686" i="4" s="1"/>
  <c r="U686" i="4"/>
  <c r="U684" i="4"/>
  <c r="V684" i="4"/>
  <c r="W684" i="4" s="1"/>
  <c r="V681" i="4"/>
  <c r="W681" i="4" s="1"/>
  <c r="V679" i="4"/>
  <c r="W679" i="4" s="1"/>
  <c r="V459" i="4"/>
  <c r="W459" i="4" s="1"/>
  <c r="V457" i="4"/>
  <c r="W457" i="4" s="1"/>
  <c r="U456" i="4"/>
  <c r="V456" i="4"/>
  <c r="W456" i="4" s="1"/>
  <c r="U458" i="4"/>
  <c r="V458" i="4"/>
  <c r="W458" i="4" s="1"/>
  <c r="U460" i="4"/>
  <c r="V460" i="4"/>
  <c r="W460" i="4" s="1"/>
  <c r="V455" i="4"/>
  <c r="W455" i="4" s="1"/>
  <c r="V529" i="4"/>
  <c r="W529" i="4" s="1"/>
  <c r="U530" i="4"/>
  <c r="V530" i="4"/>
  <c r="W530" i="4" s="1"/>
  <c r="U533" i="4"/>
  <c r="V533" i="4"/>
  <c r="W533" i="4" s="1"/>
  <c r="U531" i="4"/>
  <c r="V531" i="4"/>
  <c r="W531" i="4" s="1"/>
  <c r="V306" i="4"/>
  <c r="W306" i="4" s="1"/>
  <c r="V311" i="4"/>
  <c r="W311" i="4" s="1"/>
  <c r="U311" i="4"/>
  <c r="U302" i="4"/>
  <c r="V302" i="4"/>
  <c r="W302" i="4" s="1"/>
  <c r="U307" i="4"/>
  <c r="V307" i="4"/>
  <c r="W307" i="4" s="1"/>
  <c r="U312" i="4"/>
  <c r="V312" i="4"/>
  <c r="W312" i="4" s="1"/>
  <c r="U305" i="4"/>
  <c r="V305" i="4"/>
  <c r="W305" i="4" s="1"/>
  <c r="U310" i="4"/>
  <c r="V310" i="4"/>
  <c r="W310" i="4" s="1"/>
  <c r="U315" i="4"/>
  <c r="V315" i="4"/>
  <c r="W315" i="4" s="1"/>
  <c r="U303" i="4"/>
  <c r="V303" i="4"/>
  <c r="W303" i="4" s="1"/>
  <c r="U308" i="4"/>
  <c r="V308" i="4"/>
  <c r="W308" i="4" s="1"/>
  <c r="U313" i="4"/>
  <c r="V313" i="4"/>
  <c r="W313" i="4" s="1"/>
  <c r="U304" i="4"/>
  <c r="V304" i="4"/>
  <c r="W304" i="4" s="1"/>
  <c r="U314" i="4"/>
  <c r="V314" i="4"/>
  <c r="W314" i="4" s="1"/>
  <c r="V351" i="4"/>
  <c r="W351" i="4" s="1"/>
  <c r="V186" i="4"/>
  <c r="W186" i="4" s="1"/>
  <c r="V172" i="4"/>
  <c r="W172" i="4" s="1"/>
  <c r="V178" i="4"/>
  <c r="W178" i="4" s="1"/>
  <c r="U178" i="4"/>
  <c r="V188" i="4"/>
  <c r="W188" i="4" s="1"/>
  <c r="U188" i="4"/>
  <c r="U189" i="4"/>
  <c r="V189" i="4"/>
  <c r="W189" i="4" s="1"/>
  <c r="V177" i="4"/>
  <c r="W177" i="4" s="1"/>
  <c r="U179" i="4"/>
  <c r="V181" i="4"/>
  <c r="W181" i="4" s="1"/>
  <c r="V175" i="4"/>
  <c r="W175" i="4" s="1"/>
  <c r="V184" i="4"/>
  <c r="W184" i="4" s="1"/>
  <c r="V185" i="4"/>
  <c r="W185" i="4" s="1"/>
  <c r="V182" i="4"/>
  <c r="W182" i="4" s="1"/>
  <c r="V176" i="4"/>
  <c r="W176" i="4" s="1"/>
  <c r="V173" i="4"/>
  <c r="W173" i="4" s="1"/>
  <c r="V169" i="4"/>
  <c r="W169" i="4" s="1"/>
  <c r="U170" i="4"/>
  <c r="V170" i="4"/>
  <c r="W170" i="4" s="1"/>
  <c r="U171" i="4"/>
  <c r="V171" i="4"/>
  <c r="W171" i="4" s="1"/>
  <c r="V301" i="4"/>
  <c r="W301" i="4" s="1"/>
  <c r="V677" i="4"/>
  <c r="W677" i="4" s="1"/>
  <c r="V678" i="4"/>
  <c r="W678" i="4" s="1"/>
  <c r="V675" i="4"/>
  <c r="W675" i="4" s="1"/>
  <c r="U674" i="4"/>
  <c r="V527" i="4"/>
  <c r="W527" i="4" s="1"/>
  <c r="U672" i="4"/>
  <c r="U673" i="4"/>
  <c r="U528" i="4"/>
  <c r="V528" i="4"/>
  <c r="W528" i="4" s="1"/>
  <c r="V522" i="4"/>
  <c r="W522" i="4" s="1"/>
  <c r="U525" i="4"/>
  <c r="U524" i="4"/>
  <c r="V524" i="4"/>
  <c r="W524" i="4" s="1"/>
  <c r="V523" i="4"/>
  <c r="W523" i="4" s="1"/>
  <c r="V521" i="4"/>
  <c r="W521" i="4" s="1"/>
  <c r="V452" i="4"/>
  <c r="W452" i="4" s="1"/>
  <c r="U454" i="4"/>
  <c r="V449" i="4"/>
  <c r="W449" i="4" s="1"/>
  <c r="V451" i="4"/>
  <c r="W451" i="4" s="1"/>
  <c r="U453" i="4"/>
  <c r="V453" i="4"/>
  <c r="W453" i="4" s="1"/>
  <c r="V450" i="4"/>
  <c r="W450" i="4" s="1"/>
  <c r="V168" i="4"/>
  <c r="W168" i="4" s="1"/>
  <c r="U297" i="4"/>
  <c r="V297" i="4"/>
  <c r="W297" i="4" s="1"/>
  <c r="U166" i="4"/>
  <c r="V166" i="4"/>
  <c r="W166" i="4" s="1"/>
  <c r="V165" i="4"/>
  <c r="W165" i="4" s="1"/>
  <c r="V167" i="4"/>
  <c r="W167" i="4" s="1"/>
  <c r="V666" i="4"/>
  <c r="W666" i="4" s="1"/>
  <c r="U518" i="4"/>
  <c r="U669" i="4"/>
  <c r="V669" i="4"/>
  <c r="W669" i="4" s="1"/>
  <c r="U668" i="4"/>
  <c r="U664" i="4"/>
  <c r="V662" i="4"/>
  <c r="W662" i="4" s="1"/>
  <c r="U662" i="4"/>
  <c r="U663" i="4"/>
  <c r="V663" i="4"/>
  <c r="W663" i="4" s="1"/>
  <c r="U520" i="4"/>
  <c r="V520" i="4"/>
  <c r="W520" i="4" s="1"/>
  <c r="V448" i="4"/>
  <c r="W448" i="4" s="1"/>
  <c r="V516" i="4"/>
  <c r="W516" i="4" s="1"/>
  <c r="V517" i="4"/>
  <c r="W517" i="4" s="1"/>
  <c r="U517" i="4"/>
  <c r="U515" i="4"/>
  <c r="V446" i="4"/>
  <c r="W446" i="4" s="1"/>
  <c r="U446" i="4"/>
  <c r="U447" i="4"/>
  <c r="V447" i="4"/>
  <c r="W447" i="4" s="1"/>
  <c r="V296" i="4"/>
  <c r="W296" i="4" s="1"/>
  <c r="V163" i="4"/>
  <c r="W163" i="4" s="1"/>
  <c r="U163" i="4"/>
  <c r="V162" i="4"/>
  <c r="W162" i="4" s="1"/>
  <c r="V161" i="4"/>
  <c r="W161" i="4" s="1"/>
  <c r="V158" i="4"/>
  <c r="W158" i="4" s="1"/>
  <c r="V660" i="4"/>
  <c r="W660" i="4" s="1"/>
  <c r="B516" i="17"/>
  <c r="U661" i="4"/>
  <c r="V661" i="4"/>
  <c r="W661" i="4" s="1"/>
  <c r="U659" i="4"/>
  <c r="V659" i="4"/>
  <c r="W659" i="4" s="1"/>
  <c r="U658" i="4"/>
  <c r="U655" i="4"/>
  <c r="V655" i="4"/>
  <c r="W655" i="4" s="1"/>
  <c r="V512" i="4"/>
  <c r="W512" i="4" s="1"/>
  <c r="U649" i="4"/>
  <c r="V649" i="4"/>
  <c r="W649" i="4" s="1"/>
  <c r="V510" i="4"/>
  <c r="W510" i="4" s="1"/>
  <c r="U651" i="4"/>
  <c r="V511" i="4"/>
  <c r="W511" i="4" s="1"/>
  <c r="V642" i="4"/>
  <c r="W642" i="4" s="1"/>
  <c r="V648" i="4"/>
  <c r="W648" i="4" s="1"/>
  <c r="V644" i="4"/>
  <c r="W644" i="4" s="1"/>
  <c r="U641" i="4"/>
  <c r="V641" i="4"/>
  <c r="W641" i="4" s="1"/>
  <c r="U647" i="4"/>
  <c r="V647" i="4"/>
  <c r="W647" i="4" s="1"/>
  <c r="V652" i="4"/>
  <c r="W652" i="4" s="1"/>
  <c r="U652" i="4"/>
  <c r="U513" i="4"/>
  <c r="V513" i="4"/>
  <c r="W513" i="4" s="1"/>
  <c r="U514" i="4"/>
  <c r="V514" i="4"/>
  <c r="W514" i="4" s="1"/>
  <c r="V444" i="4"/>
  <c r="W444" i="4" s="1"/>
  <c r="U441" i="4"/>
  <c r="V441" i="4"/>
  <c r="W441" i="4" s="1"/>
  <c r="U445" i="4"/>
  <c r="V445" i="4"/>
  <c r="W445" i="4" s="1"/>
  <c r="U443" i="4"/>
  <c r="V443" i="4"/>
  <c r="W443" i="4" s="1"/>
  <c r="U440" i="4"/>
  <c r="V440" i="4"/>
  <c r="W440" i="4" s="1"/>
  <c r="U439" i="4"/>
  <c r="V439" i="4"/>
  <c r="W439" i="4" s="1"/>
  <c r="R434" i="4"/>
  <c r="R435" i="4"/>
  <c r="V436" i="4"/>
  <c r="W436" i="4" s="1"/>
  <c r="U436" i="4"/>
  <c r="R436" i="4"/>
  <c r="T437" i="4"/>
  <c r="U437" i="4" s="1"/>
  <c r="V435" i="4"/>
  <c r="W435" i="4" s="1"/>
  <c r="V434" i="4"/>
  <c r="W434" i="4" s="1"/>
  <c r="T349" i="4"/>
  <c r="U349" i="4" s="1"/>
  <c r="T153" i="4"/>
  <c r="U153" i="4" s="1"/>
  <c r="T154" i="4"/>
  <c r="U154" i="4" s="1"/>
  <c r="T157" i="4"/>
  <c r="T155" i="4"/>
  <c r="V155" i="4" s="1"/>
  <c r="W155" i="4" s="1"/>
  <c r="T156" i="4"/>
  <c r="U156" i="4" s="1"/>
  <c r="T149" i="4"/>
  <c r="U149" i="4" s="1"/>
  <c r="T150" i="4"/>
  <c r="T636" i="4"/>
  <c r="U636" i="4" s="1"/>
  <c r="T151" i="4"/>
  <c r="T152" i="4"/>
  <c r="T148" i="4"/>
  <c r="U148" i="4" s="1"/>
  <c r="R295" i="4"/>
  <c r="V295" i="4"/>
  <c r="W295" i="4" s="1"/>
  <c r="T147" i="4"/>
  <c r="R635" i="4"/>
  <c r="Y496" i="17" s="1"/>
  <c r="T508" i="4"/>
  <c r="U508" i="4" s="1"/>
  <c r="V640" i="4"/>
  <c r="W640" i="4" s="1"/>
  <c r="T509" i="4"/>
  <c r="U509" i="4" s="1"/>
  <c r="V638" i="4"/>
  <c r="W638" i="4" s="1"/>
  <c r="T634" i="4"/>
  <c r="V637" i="4"/>
  <c r="W637" i="4" s="1"/>
  <c r="V639" i="4"/>
  <c r="W639" i="4" s="1"/>
  <c r="V635" i="4"/>
  <c r="W635" i="4" s="1"/>
  <c r="T507" i="4"/>
  <c r="U507" i="4" s="1"/>
  <c r="T506" i="4"/>
  <c r="R505" i="4"/>
  <c r="U505" i="4"/>
  <c r="V505" i="4"/>
  <c r="W505" i="4" s="1"/>
  <c r="V60" i="4"/>
  <c r="W60" i="4" s="1"/>
  <c r="V20" i="4"/>
  <c r="W20" i="4" s="1"/>
  <c r="T504" i="4"/>
  <c r="T146" i="4"/>
  <c r="U146" i="4" s="1"/>
  <c r="R226" i="4"/>
  <c r="T145" i="4"/>
  <c r="U145" i="4" s="1"/>
  <c r="R256" i="4"/>
  <c r="U326" i="4"/>
  <c r="V326" i="4"/>
  <c r="W326" i="4" s="1"/>
  <c r="U342" i="4"/>
  <c r="V342" i="4"/>
  <c r="W342" i="4" s="1"/>
  <c r="V202" i="4"/>
  <c r="W202" i="4" s="1"/>
  <c r="U202" i="4"/>
  <c r="V226" i="4"/>
  <c r="W226" i="4" s="1"/>
  <c r="U226" i="4"/>
  <c r="U472" i="4"/>
  <c r="V472" i="4"/>
  <c r="W472" i="4" s="1"/>
  <c r="V242" i="4"/>
  <c r="W242" i="4" s="1"/>
  <c r="U242" i="4"/>
  <c r="V130" i="4"/>
  <c r="W130" i="4" s="1"/>
  <c r="U130" i="4"/>
  <c r="U70" i="4"/>
  <c r="V70" i="4"/>
  <c r="W70" i="4" s="1"/>
  <c r="V256" i="4"/>
  <c r="W256" i="4" s="1"/>
  <c r="U256" i="4"/>
  <c r="V488" i="4"/>
  <c r="W488" i="4" s="1"/>
  <c r="U488" i="4"/>
  <c r="V466" i="4"/>
  <c r="W466" i="4" s="1"/>
  <c r="U466" i="4"/>
  <c r="U251" i="4"/>
  <c r="V251" i="4"/>
  <c r="W251" i="4" s="1"/>
  <c r="V501" i="4"/>
  <c r="W501" i="4" s="1"/>
  <c r="U501" i="4"/>
  <c r="V481" i="4"/>
  <c r="W481" i="4" s="1"/>
  <c r="U481" i="4"/>
  <c r="R136" i="4"/>
  <c r="T136" i="4"/>
  <c r="R133" i="4"/>
  <c r="T619" i="4"/>
  <c r="T599" i="4"/>
  <c r="T579" i="4"/>
  <c r="T559" i="4"/>
  <c r="T539" i="4"/>
  <c r="T486" i="4"/>
  <c r="T419" i="4"/>
  <c r="T399" i="4"/>
  <c r="T379" i="4"/>
  <c r="T359" i="4"/>
  <c r="T334" i="4"/>
  <c r="T293" i="4"/>
  <c r="T273" i="4"/>
  <c r="T250" i="4"/>
  <c r="T218" i="4"/>
  <c r="T142" i="4"/>
  <c r="T110" i="4"/>
  <c r="T81" i="4"/>
  <c r="T49" i="4"/>
  <c r="T19" i="4"/>
  <c r="R126" i="4"/>
  <c r="T126" i="4"/>
  <c r="R106" i="4"/>
  <c r="T106" i="4"/>
  <c r="R86" i="4"/>
  <c r="T86" i="4"/>
  <c r="R66" i="4"/>
  <c r="T66" i="4"/>
  <c r="R46" i="4"/>
  <c r="T46" i="4"/>
  <c r="R26" i="4"/>
  <c r="T26" i="4"/>
  <c r="R6" i="4"/>
  <c r="T6" i="4"/>
  <c r="T618" i="4"/>
  <c r="T598" i="4"/>
  <c r="T578" i="4"/>
  <c r="T558" i="4"/>
  <c r="T538" i="4"/>
  <c r="T485" i="4"/>
  <c r="T465" i="4"/>
  <c r="T418" i="4"/>
  <c r="T398" i="4"/>
  <c r="T378" i="4"/>
  <c r="T358" i="4"/>
  <c r="T333" i="4"/>
  <c r="T292" i="4"/>
  <c r="T272" i="4"/>
  <c r="T249" i="4"/>
  <c r="T217" i="4"/>
  <c r="T141" i="4"/>
  <c r="T109" i="4"/>
  <c r="T79" i="4"/>
  <c r="T48" i="4"/>
  <c r="T18" i="4"/>
  <c r="U60" i="4"/>
  <c r="R105" i="4"/>
  <c r="T105" i="4"/>
  <c r="R85" i="4"/>
  <c r="T85" i="4"/>
  <c r="R65" i="4"/>
  <c r="T65" i="4"/>
  <c r="R45" i="4"/>
  <c r="T45" i="4"/>
  <c r="R25" i="4"/>
  <c r="T25" i="4"/>
  <c r="R5" i="4"/>
  <c r="T5" i="4"/>
  <c r="T617" i="4"/>
  <c r="T597" i="4"/>
  <c r="T577" i="4"/>
  <c r="T557" i="4"/>
  <c r="T537" i="4"/>
  <c r="T484" i="4"/>
  <c r="T464" i="4"/>
  <c r="T417" i="4"/>
  <c r="T397" i="4"/>
  <c r="T377" i="4"/>
  <c r="T357" i="4"/>
  <c r="T332" i="4"/>
  <c r="T271" i="4"/>
  <c r="T248" i="4"/>
  <c r="T216" i="4"/>
  <c r="T139" i="4"/>
  <c r="T108" i="4"/>
  <c r="T78" i="4"/>
  <c r="T47" i="4"/>
  <c r="T15" i="4"/>
  <c r="R233" i="4"/>
  <c r="T233" i="4"/>
  <c r="R213" i="4"/>
  <c r="T213" i="4"/>
  <c r="R193" i="4"/>
  <c r="T193" i="4"/>
  <c r="R252" i="4"/>
  <c r="T252" i="4"/>
  <c r="R232" i="4"/>
  <c r="T232" i="4"/>
  <c r="R212" i="4"/>
  <c r="T212" i="4"/>
  <c r="R192" i="4"/>
  <c r="T192" i="4"/>
  <c r="T616" i="4"/>
  <c r="T596" i="4"/>
  <c r="T576" i="4"/>
  <c r="T556" i="4"/>
  <c r="T503" i="4"/>
  <c r="T483" i="4"/>
  <c r="T463" i="4"/>
  <c r="T396" i="4"/>
  <c r="T376" i="4"/>
  <c r="T356" i="4"/>
  <c r="T331" i="4"/>
  <c r="T290" i="4"/>
  <c r="T270" i="4"/>
  <c r="T246" i="4"/>
  <c r="T215" i="4"/>
  <c r="T138" i="4"/>
  <c r="T107" i="4"/>
  <c r="T75" i="4"/>
  <c r="T44" i="4"/>
  <c r="T12" i="4"/>
  <c r="U20" i="4"/>
  <c r="T615" i="4"/>
  <c r="T595" i="4"/>
  <c r="T575" i="4"/>
  <c r="T555" i="4"/>
  <c r="T502" i="4"/>
  <c r="T482" i="4"/>
  <c r="T395" i="4"/>
  <c r="T375" i="4"/>
  <c r="T355" i="4"/>
  <c r="T330" i="4"/>
  <c r="T289" i="4"/>
  <c r="T269" i="4"/>
  <c r="T245" i="4"/>
  <c r="T214" i="4"/>
  <c r="T104" i="4"/>
  <c r="T72" i="4"/>
  <c r="T43" i="4"/>
  <c r="T11" i="4"/>
  <c r="V125" i="4"/>
  <c r="W125" i="4" s="1"/>
  <c r="T3" i="4"/>
  <c r="T614" i="4"/>
  <c r="T594" i="4"/>
  <c r="T574" i="4"/>
  <c r="T554" i="4"/>
  <c r="T394" i="4"/>
  <c r="T374" i="4"/>
  <c r="T354" i="4"/>
  <c r="T329" i="4"/>
  <c r="T268" i="4"/>
  <c r="T211" i="4"/>
  <c r="T103" i="4"/>
  <c r="T71" i="4"/>
  <c r="T42" i="4"/>
  <c r="T10" i="4"/>
  <c r="R253" i="4"/>
  <c r="T253" i="4"/>
  <c r="R20" i="4"/>
  <c r="T633" i="4"/>
  <c r="T613" i="4"/>
  <c r="T593" i="4"/>
  <c r="T573" i="4"/>
  <c r="T553" i="4"/>
  <c r="T500" i="4"/>
  <c r="T480" i="4"/>
  <c r="T433" i="4"/>
  <c r="T413" i="4"/>
  <c r="T393" i="4"/>
  <c r="T373" i="4"/>
  <c r="T348" i="4"/>
  <c r="T328" i="4"/>
  <c r="T287" i="4"/>
  <c r="T267" i="4"/>
  <c r="T239" i="4"/>
  <c r="T210" i="4"/>
  <c r="T102" i="4"/>
  <c r="T41" i="4"/>
  <c r="T9" i="4"/>
  <c r="R247" i="4"/>
  <c r="T247" i="4"/>
  <c r="R207" i="4"/>
  <c r="T207" i="4"/>
  <c r="R120" i="4"/>
  <c r="T120" i="4"/>
  <c r="R80" i="4"/>
  <c r="T80" i="4"/>
  <c r="T632" i="4"/>
  <c r="T612" i="4"/>
  <c r="T592" i="4"/>
  <c r="T572" i="4"/>
  <c r="T552" i="4"/>
  <c r="T499" i="4"/>
  <c r="T479" i="4"/>
  <c r="T432" i="4"/>
  <c r="T412" i="4"/>
  <c r="T392" i="4"/>
  <c r="T372" i="4"/>
  <c r="T327" i="4"/>
  <c r="T286" i="4"/>
  <c r="T266" i="4"/>
  <c r="T238" i="4"/>
  <c r="T209" i="4"/>
  <c r="T101" i="4"/>
  <c r="T69" i="4"/>
  <c r="T39" i="4"/>
  <c r="T8" i="4"/>
  <c r="T631" i="4"/>
  <c r="T611" i="4"/>
  <c r="T591" i="4"/>
  <c r="T571" i="4"/>
  <c r="T551" i="4"/>
  <c r="T498" i="4"/>
  <c r="T478" i="4"/>
  <c r="T431" i="4"/>
  <c r="T411" i="4"/>
  <c r="T391" i="4"/>
  <c r="T371" i="4"/>
  <c r="T346" i="4"/>
  <c r="T285" i="4"/>
  <c r="T265" i="4"/>
  <c r="T237" i="4"/>
  <c r="T208" i="4"/>
  <c r="T129" i="4"/>
  <c r="T99" i="4"/>
  <c r="T68" i="4"/>
  <c r="T38" i="4"/>
  <c r="T7" i="4"/>
  <c r="V76" i="4"/>
  <c r="W76" i="4" s="1"/>
  <c r="R227" i="4"/>
  <c r="T227" i="4"/>
  <c r="R140" i="4"/>
  <c r="Y142" i="17" s="1"/>
  <c r="T140" i="4"/>
  <c r="R100" i="4"/>
  <c r="T100" i="4"/>
  <c r="R40" i="4"/>
  <c r="T40" i="4"/>
  <c r="T630" i="4"/>
  <c r="T610" i="4"/>
  <c r="T590" i="4"/>
  <c r="T570" i="4"/>
  <c r="T550" i="4"/>
  <c r="T497" i="4"/>
  <c r="T477" i="4"/>
  <c r="T430" i="4"/>
  <c r="T410" i="4"/>
  <c r="T390" i="4"/>
  <c r="T370" i="4"/>
  <c r="T345" i="4"/>
  <c r="T325" i="4"/>
  <c r="T284" i="4"/>
  <c r="T264" i="4"/>
  <c r="T236" i="4"/>
  <c r="T206" i="4"/>
  <c r="T128" i="4"/>
  <c r="T98" i="4"/>
  <c r="T67" i="4"/>
  <c r="T35" i="4"/>
  <c r="T4" i="4"/>
  <c r="R244" i="4"/>
  <c r="T244" i="4"/>
  <c r="R224" i="4"/>
  <c r="T224" i="4"/>
  <c r="R204" i="4"/>
  <c r="T204" i="4"/>
  <c r="R137" i="4"/>
  <c r="T137" i="4"/>
  <c r="R117" i="4"/>
  <c r="T117" i="4"/>
  <c r="R97" i="4"/>
  <c r="T97" i="4"/>
  <c r="R77" i="4"/>
  <c r="T77" i="4"/>
  <c r="R57" i="4"/>
  <c r="T57" i="4"/>
  <c r="R37" i="4"/>
  <c r="T37" i="4"/>
  <c r="R17" i="4"/>
  <c r="T17" i="4"/>
  <c r="T629" i="4"/>
  <c r="T609" i="4"/>
  <c r="T589" i="4"/>
  <c r="T569" i="4"/>
  <c r="T549" i="4"/>
  <c r="T496" i="4"/>
  <c r="T476" i="4"/>
  <c r="T429" i="4"/>
  <c r="T409" i="4"/>
  <c r="T389" i="4"/>
  <c r="T369" i="4"/>
  <c r="T344" i="4"/>
  <c r="T324" i="4"/>
  <c r="T283" i="4"/>
  <c r="T263" i="4"/>
  <c r="T235" i="4"/>
  <c r="T205" i="4"/>
  <c r="T127" i="4"/>
  <c r="T95" i="4"/>
  <c r="T64" i="4"/>
  <c r="T32" i="4"/>
  <c r="V116" i="4"/>
  <c r="W116" i="4" s="1"/>
  <c r="T628" i="4"/>
  <c r="T608" i="4"/>
  <c r="T588" i="4"/>
  <c r="T568" i="4"/>
  <c r="T548" i="4"/>
  <c r="T495" i="4"/>
  <c r="T475" i="4"/>
  <c r="T428" i="4"/>
  <c r="T408" i="4"/>
  <c r="T388" i="4"/>
  <c r="T368" i="4"/>
  <c r="T343" i="4"/>
  <c r="T323" i="4"/>
  <c r="T282" i="4"/>
  <c r="T262" i="4"/>
  <c r="T234" i="4"/>
  <c r="T124" i="4"/>
  <c r="T92" i="4"/>
  <c r="T63" i="4"/>
  <c r="T31" i="4"/>
  <c r="R243" i="4"/>
  <c r="T243" i="4"/>
  <c r="R96" i="4"/>
  <c r="T96" i="4"/>
  <c r="T627" i="4"/>
  <c r="T607" i="4"/>
  <c r="T587" i="4"/>
  <c r="T567" i="4"/>
  <c r="T547" i="4"/>
  <c r="T494" i="4"/>
  <c r="T474" i="4"/>
  <c r="T427" i="4"/>
  <c r="T407" i="4"/>
  <c r="T387" i="4"/>
  <c r="T367" i="4"/>
  <c r="T322" i="4"/>
  <c r="T281" i="4"/>
  <c r="T260" i="4"/>
  <c r="T231" i="4"/>
  <c r="T199" i="4"/>
  <c r="T123" i="4"/>
  <c r="T91" i="4"/>
  <c r="T62" i="4"/>
  <c r="T30" i="4"/>
  <c r="R56" i="4"/>
  <c r="T56" i="4"/>
  <c r="R261" i="4"/>
  <c r="T261" i="4"/>
  <c r="R241" i="4"/>
  <c r="T241" i="4"/>
  <c r="R221" i="4"/>
  <c r="T221" i="4"/>
  <c r="R201" i="4"/>
  <c r="T201" i="4"/>
  <c r="R134" i="4"/>
  <c r="R114" i="4"/>
  <c r="T114" i="4"/>
  <c r="R94" i="4"/>
  <c r="T94" i="4"/>
  <c r="R74" i="4"/>
  <c r="T74" i="4"/>
  <c r="R54" i="4"/>
  <c r="T54" i="4"/>
  <c r="R34" i="4"/>
  <c r="T34" i="4"/>
  <c r="R14" i="4"/>
  <c r="T14" i="4"/>
  <c r="T626" i="4"/>
  <c r="T606" i="4"/>
  <c r="T586" i="4"/>
  <c r="T566" i="4"/>
  <c r="T546" i="4"/>
  <c r="T493" i="4"/>
  <c r="T473" i="4"/>
  <c r="T426" i="4"/>
  <c r="T406" i="4"/>
  <c r="T386" i="4"/>
  <c r="T366" i="4"/>
  <c r="T341" i="4"/>
  <c r="T321" i="4"/>
  <c r="T280" i="4"/>
  <c r="T259" i="4"/>
  <c r="T230" i="4"/>
  <c r="T198" i="4"/>
  <c r="T122" i="4"/>
  <c r="T90" i="4"/>
  <c r="T61" i="4"/>
  <c r="T29" i="4"/>
  <c r="R203" i="4"/>
  <c r="T203" i="4"/>
  <c r="R16" i="4"/>
  <c r="T16" i="4"/>
  <c r="R240" i="4"/>
  <c r="T240" i="4"/>
  <c r="T625" i="4"/>
  <c r="T605" i="4"/>
  <c r="T585" i="4"/>
  <c r="T565" i="4"/>
  <c r="T545" i="4"/>
  <c r="T492" i="4"/>
  <c r="T425" i="4"/>
  <c r="T405" i="4"/>
  <c r="T385" i="4"/>
  <c r="T365" i="4"/>
  <c r="T340" i="4"/>
  <c r="T320" i="4"/>
  <c r="T279" i="4"/>
  <c r="T258" i="4"/>
  <c r="T229" i="4"/>
  <c r="T197" i="4"/>
  <c r="T121" i="4"/>
  <c r="T89" i="4"/>
  <c r="T59" i="4"/>
  <c r="T28" i="4"/>
  <c r="R73" i="4"/>
  <c r="T73" i="4"/>
  <c r="T624" i="4"/>
  <c r="T604" i="4"/>
  <c r="T584" i="4"/>
  <c r="T564" i="4"/>
  <c r="T544" i="4"/>
  <c r="T491" i="4"/>
  <c r="T471" i="4"/>
  <c r="T424" i="4"/>
  <c r="T404" i="4"/>
  <c r="T384" i="4"/>
  <c r="T364" i="4"/>
  <c r="T339" i="4"/>
  <c r="T319" i="4"/>
  <c r="T278" i="4"/>
  <c r="T257" i="4"/>
  <c r="T228" i="4"/>
  <c r="T196" i="4"/>
  <c r="T119" i="4"/>
  <c r="U119" i="4" s="1"/>
  <c r="T88" i="4"/>
  <c r="T58" i="4"/>
  <c r="T27" i="4"/>
  <c r="R33" i="4"/>
  <c r="T33" i="4"/>
  <c r="T623" i="4"/>
  <c r="T603" i="4"/>
  <c r="T583" i="4"/>
  <c r="T563" i="4"/>
  <c r="T543" i="4"/>
  <c r="T490" i="4"/>
  <c r="T470" i="4"/>
  <c r="T423" i="4"/>
  <c r="T403" i="4"/>
  <c r="T383" i="4"/>
  <c r="T363" i="4"/>
  <c r="T338" i="4"/>
  <c r="T318" i="4"/>
  <c r="T277" i="4"/>
  <c r="T195" i="4"/>
  <c r="T118" i="4"/>
  <c r="T87" i="4"/>
  <c r="T55" i="4"/>
  <c r="T24" i="4"/>
  <c r="T622" i="4"/>
  <c r="T602" i="4"/>
  <c r="T582" i="4"/>
  <c r="T562" i="4"/>
  <c r="T542" i="4"/>
  <c r="T489" i="4"/>
  <c r="T469" i="4"/>
  <c r="T422" i="4"/>
  <c r="T402" i="4"/>
  <c r="T382" i="4"/>
  <c r="T362" i="4"/>
  <c r="T337" i="4"/>
  <c r="T317" i="4"/>
  <c r="T276" i="4"/>
  <c r="T255" i="4"/>
  <c r="T225" i="4"/>
  <c r="T194" i="4"/>
  <c r="T115" i="4"/>
  <c r="T84" i="4"/>
  <c r="T52" i="4"/>
  <c r="T23" i="4"/>
  <c r="R200" i="4"/>
  <c r="T200" i="4"/>
  <c r="R93" i="4"/>
  <c r="T93" i="4"/>
  <c r="R13" i="4"/>
  <c r="T13" i="4"/>
  <c r="T621" i="4"/>
  <c r="T601" i="4"/>
  <c r="T581" i="4"/>
  <c r="T561" i="4"/>
  <c r="T541" i="4"/>
  <c r="T468" i="4"/>
  <c r="T421" i="4"/>
  <c r="T401" i="4"/>
  <c r="T381" i="4"/>
  <c r="T361" i="4"/>
  <c r="T336" i="4"/>
  <c r="T275" i="4"/>
  <c r="T254" i="4"/>
  <c r="T222" i="4"/>
  <c r="T144" i="4"/>
  <c r="T112" i="4"/>
  <c r="T83" i="4"/>
  <c r="T51" i="4"/>
  <c r="T22" i="4"/>
  <c r="R223" i="4"/>
  <c r="T223" i="4"/>
  <c r="R36" i="4"/>
  <c r="T36" i="4"/>
  <c r="R220" i="4"/>
  <c r="T220" i="4"/>
  <c r="R113" i="4"/>
  <c r="T113" i="4"/>
  <c r="R53" i="4"/>
  <c r="T53" i="4"/>
  <c r="T620" i="4"/>
  <c r="T600" i="4"/>
  <c r="T580" i="4"/>
  <c r="T560" i="4"/>
  <c r="T540" i="4"/>
  <c r="T487" i="4"/>
  <c r="T467" i="4"/>
  <c r="T420" i="4"/>
  <c r="T400" i="4"/>
  <c r="T380" i="4"/>
  <c r="T360" i="4"/>
  <c r="T335" i="4"/>
  <c r="T294" i="4"/>
  <c r="T274" i="4"/>
  <c r="T219" i="4"/>
  <c r="T143" i="4"/>
  <c r="T111" i="4"/>
  <c r="T82" i="4"/>
  <c r="T50" i="4"/>
  <c r="T21" i="4"/>
  <c r="R466" i="4"/>
  <c r="R342" i="4"/>
  <c r="R326" i="4"/>
  <c r="R70" i="4"/>
  <c r="R60" i="4"/>
  <c r="R251" i="4"/>
  <c r="R242" i="4"/>
  <c r="R202" i="4"/>
  <c r="R488" i="4"/>
  <c r="R130" i="4"/>
  <c r="R481" i="4"/>
  <c r="R125" i="4"/>
  <c r="R501" i="4"/>
  <c r="R472" i="4"/>
  <c r="R116" i="4"/>
  <c r="R76" i="4"/>
  <c r="Y144" i="17"/>
  <c r="Y246" i="17"/>
  <c r="Y278" i="17"/>
  <c r="Y355" i="17"/>
  <c r="Y397" i="17"/>
  <c r="Y492" i="17"/>
  <c r="Y493" i="17"/>
  <c r="Y494" i="17"/>
  <c r="Y495" i="17"/>
  <c r="Y497" i="17"/>
  <c r="Y498" i="17"/>
  <c r="B498" i="17" s="1"/>
  <c r="Y499" i="17"/>
  <c r="Y500" i="17"/>
  <c r="Y501" i="17"/>
  <c r="A501" i="17" s="1"/>
  <c r="Y502" i="17"/>
  <c r="B502" i="17" s="1"/>
  <c r="Y503" i="17"/>
  <c r="A503" i="17" s="1"/>
  <c r="Y504" i="17"/>
  <c r="A504" i="17" s="1"/>
  <c r="Y505" i="17"/>
  <c r="A505" i="17" s="1"/>
  <c r="Y506" i="17"/>
  <c r="B506" i="17" s="1"/>
  <c r="Y507" i="17"/>
  <c r="Y508" i="17"/>
  <c r="Y509" i="17"/>
  <c r="B509" i="17" s="1"/>
  <c r="Y510" i="17"/>
  <c r="A510" i="17" s="1"/>
  <c r="Y511" i="17"/>
  <c r="A511" i="17" s="1"/>
  <c r="Y512" i="17"/>
  <c r="A512" i="17" s="1"/>
  <c r="Y513" i="17"/>
  <c r="A513" i="17" s="1"/>
  <c r="Y514" i="17"/>
  <c r="B514" i="17" s="1"/>
  <c r="Y515" i="17"/>
  <c r="Y519" i="17"/>
  <c r="Y520" i="17"/>
  <c r="Y521" i="17"/>
  <c r="Y522" i="17"/>
  <c r="B522" i="17" s="1"/>
  <c r="Y523" i="17"/>
  <c r="Y524" i="17"/>
  <c r="Y525" i="17"/>
  <c r="A525" i="17" s="1"/>
  <c r="Y526" i="17"/>
  <c r="A526" i="17" s="1"/>
  <c r="Y527" i="17"/>
  <c r="A527" i="17" s="1"/>
  <c r="Y528" i="17"/>
  <c r="Y529" i="17"/>
  <c r="Y530" i="17"/>
  <c r="Y531" i="17"/>
  <c r="Y532" i="17"/>
  <c r="Y533" i="17"/>
  <c r="Y534" i="17"/>
  <c r="Y535" i="17"/>
  <c r="Y536" i="17"/>
  <c r="Y537" i="17"/>
  <c r="Y538" i="17"/>
  <c r="Y539" i="17"/>
  <c r="Y540" i="17"/>
  <c r="Y541" i="17"/>
  <c r="Y542" i="17"/>
  <c r="Y543" i="17"/>
  <c r="Y544" i="17"/>
  <c r="Y545" i="17"/>
  <c r="Y546" i="17"/>
  <c r="Y547" i="17"/>
  <c r="Y548" i="17"/>
  <c r="Y549" i="17"/>
  <c r="Y550" i="17"/>
  <c r="Y551" i="17"/>
  <c r="Y552" i="17"/>
  <c r="Y553" i="17"/>
  <c r="Y554" i="17"/>
  <c r="Y555" i="17"/>
  <c r="Y556" i="17"/>
  <c r="Y557" i="17"/>
  <c r="Y558" i="17"/>
  <c r="Y559" i="17"/>
  <c r="Y560" i="17"/>
  <c r="Y561" i="17"/>
  <c r="Y562" i="17"/>
  <c r="Y563" i="17"/>
  <c r="Y564" i="17"/>
  <c r="Y565" i="17"/>
  <c r="Y566" i="17"/>
  <c r="Y567" i="17"/>
  <c r="Y568" i="17"/>
  <c r="Y569" i="17"/>
  <c r="Y570" i="17"/>
  <c r="Y491" i="17"/>
  <c r="Y490" i="17"/>
  <c r="Y489" i="17"/>
  <c r="Y143" i="17"/>
  <c r="A531" i="17" l="1"/>
  <c r="B531" i="17"/>
  <c r="A545" i="17"/>
  <c r="B545" i="17"/>
  <c r="A537" i="17"/>
  <c r="B537" i="17"/>
  <c r="A548" i="17"/>
  <c r="B548" i="17"/>
  <c r="A533" i="17"/>
  <c r="B533" i="17"/>
  <c r="A547" i="17"/>
  <c r="B547" i="17"/>
  <c r="A532" i="17"/>
  <c r="B532" i="17"/>
  <c r="A544" i="17"/>
  <c r="B544" i="17"/>
  <c r="A529" i="17"/>
  <c r="B529" i="17"/>
  <c r="A546" i="17"/>
  <c r="B546" i="17"/>
  <c r="A530" i="17"/>
  <c r="B530" i="17"/>
  <c r="A528" i="17"/>
  <c r="B528" i="17"/>
  <c r="B542" i="17"/>
  <c r="A542" i="17"/>
  <c r="A541" i="17"/>
  <c r="B541" i="17"/>
  <c r="A543" i="17"/>
  <c r="B543" i="17"/>
  <c r="A556" i="17"/>
  <c r="B556" i="17"/>
  <c r="A540" i="17"/>
  <c r="B540" i="17"/>
  <c r="A554" i="17"/>
  <c r="B554" i="17"/>
  <c r="A555" i="17"/>
  <c r="B555" i="17"/>
  <c r="A539" i="17"/>
  <c r="B539" i="17"/>
  <c r="A553" i="17"/>
  <c r="B553" i="17"/>
  <c r="A538" i="17"/>
  <c r="B538" i="17"/>
  <c r="A552" i="17"/>
  <c r="B552" i="17"/>
  <c r="A536" i="17"/>
  <c r="B536" i="17"/>
  <c r="A551" i="17"/>
  <c r="B551" i="17"/>
  <c r="B550" i="17"/>
  <c r="A550" i="17"/>
  <c r="A535" i="17"/>
  <c r="B535" i="17"/>
  <c r="A549" i="17"/>
  <c r="B549" i="17"/>
  <c r="A534" i="17"/>
  <c r="B534" i="17"/>
  <c r="A520" i="17"/>
  <c r="B520" i="17"/>
  <c r="A521" i="17"/>
  <c r="B521" i="17"/>
  <c r="A519" i="17"/>
  <c r="B519" i="17"/>
  <c r="V153" i="4"/>
  <c r="W153" i="4" s="1"/>
  <c r="V437" i="4"/>
  <c r="W437" i="4" s="1"/>
  <c r="V349" i="4"/>
  <c r="W349" i="4" s="1"/>
  <c r="V154" i="4"/>
  <c r="W154" i="4" s="1"/>
  <c r="U155" i="4"/>
  <c r="U157" i="4"/>
  <c r="V157" i="4"/>
  <c r="W157" i="4" s="1"/>
  <c r="V156" i="4"/>
  <c r="W156" i="4" s="1"/>
  <c r="V149" i="4"/>
  <c r="W149" i="4" s="1"/>
  <c r="V636" i="4"/>
  <c r="W636" i="4" s="1"/>
  <c r="V148" i="4"/>
  <c r="W148" i="4" s="1"/>
  <c r="U152" i="4"/>
  <c r="V152" i="4"/>
  <c r="W152" i="4" s="1"/>
  <c r="U151" i="4"/>
  <c r="V151" i="4"/>
  <c r="W151" i="4" s="1"/>
  <c r="U150" i="4"/>
  <c r="V150" i="4"/>
  <c r="W150" i="4" s="1"/>
  <c r="V147" i="4"/>
  <c r="W147" i="4" s="1"/>
  <c r="U147" i="4"/>
  <c r="V509" i="4"/>
  <c r="W509" i="4" s="1"/>
  <c r="V508" i="4"/>
  <c r="W508" i="4" s="1"/>
  <c r="V507" i="4"/>
  <c r="W507" i="4" s="1"/>
  <c r="U634" i="4"/>
  <c r="V634" i="4"/>
  <c r="W634" i="4" s="1"/>
  <c r="U506" i="4"/>
  <c r="V506" i="4"/>
  <c r="W506" i="4" s="1"/>
  <c r="V146" i="4"/>
  <c r="W146" i="4" s="1"/>
  <c r="U504" i="4"/>
  <c r="V504" i="4"/>
  <c r="W504" i="4" s="1"/>
  <c r="V145" i="4"/>
  <c r="W145" i="4" s="1"/>
  <c r="V94" i="4"/>
  <c r="W94" i="4" s="1"/>
  <c r="U94" i="4"/>
  <c r="V195" i="4"/>
  <c r="W195" i="4" s="1"/>
  <c r="U195" i="4"/>
  <c r="V98" i="4"/>
  <c r="W98" i="4" s="1"/>
  <c r="U98" i="4"/>
  <c r="U411" i="4"/>
  <c r="V411" i="4"/>
  <c r="W411" i="4" s="1"/>
  <c r="V392" i="4"/>
  <c r="W392" i="4" s="1"/>
  <c r="U392" i="4"/>
  <c r="U102" i="4"/>
  <c r="V102" i="4"/>
  <c r="W102" i="4" s="1"/>
  <c r="V253" i="4"/>
  <c r="W253" i="4" s="1"/>
  <c r="U253" i="4"/>
  <c r="V3" i="4"/>
  <c r="W3" i="4" s="1"/>
  <c r="U3" i="4"/>
  <c r="U575" i="4"/>
  <c r="V575" i="4"/>
  <c r="W575" i="4" s="1"/>
  <c r="U503" i="4"/>
  <c r="V503" i="4"/>
  <c r="W503" i="4" s="1"/>
  <c r="V47" i="4"/>
  <c r="W47" i="4" s="1"/>
  <c r="U47" i="4"/>
  <c r="V5" i="4"/>
  <c r="W5" i="4" s="1"/>
  <c r="U5" i="4"/>
  <c r="V272" i="4"/>
  <c r="W272" i="4" s="1"/>
  <c r="U272" i="4"/>
  <c r="V66" i="4"/>
  <c r="W66" i="4" s="1"/>
  <c r="U66" i="4"/>
  <c r="U399" i="4"/>
  <c r="V399" i="4"/>
  <c r="W399" i="4" s="1"/>
  <c r="U82" i="4"/>
  <c r="V82" i="4"/>
  <c r="W82" i="4" s="1"/>
  <c r="U113" i="4"/>
  <c r="V113" i="4"/>
  <c r="W113" i="4" s="1"/>
  <c r="V401" i="4"/>
  <c r="W401" i="4" s="1"/>
  <c r="U401" i="4"/>
  <c r="V255" i="4"/>
  <c r="W255" i="4" s="1"/>
  <c r="U255" i="4"/>
  <c r="V277" i="4"/>
  <c r="W277" i="4" s="1"/>
  <c r="U277" i="4"/>
  <c r="V196" i="4"/>
  <c r="W196" i="4" s="1"/>
  <c r="U196" i="4"/>
  <c r="V59" i="4"/>
  <c r="W59" i="4" s="1"/>
  <c r="U59" i="4"/>
  <c r="V493" i="4"/>
  <c r="W493" i="4" s="1"/>
  <c r="U493" i="4"/>
  <c r="U201" i="4"/>
  <c r="V201" i="4"/>
  <c r="W201" i="4" s="1"/>
  <c r="U387" i="4"/>
  <c r="V387" i="4"/>
  <c r="W387" i="4" s="1"/>
  <c r="V282" i="4"/>
  <c r="W282" i="4" s="1"/>
  <c r="U282" i="4"/>
  <c r="V235" i="4"/>
  <c r="W235" i="4" s="1"/>
  <c r="U235" i="4"/>
  <c r="U57" i="4"/>
  <c r="V57" i="4"/>
  <c r="W57" i="4" s="1"/>
  <c r="V128" i="4"/>
  <c r="W128" i="4" s="1"/>
  <c r="U128" i="4"/>
  <c r="U100" i="4"/>
  <c r="V100" i="4"/>
  <c r="W100" i="4" s="1"/>
  <c r="U431" i="4"/>
  <c r="V431" i="4"/>
  <c r="W431" i="4" s="1"/>
  <c r="V412" i="4"/>
  <c r="W412" i="4" s="1"/>
  <c r="U412" i="4"/>
  <c r="U595" i="4"/>
  <c r="V595" i="4"/>
  <c r="W595" i="4" s="1"/>
  <c r="U556" i="4"/>
  <c r="V556" i="4"/>
  <c r="W556" i="4" s="1"/>
  <c r="V78" i="4"/>
  <c r="W78" i="4" s="1"/>
  <c r="U78" i="4"/>
  <c r="V292" i="4"/>
  <c r="W292" i="4" s="1"/>
  <c r="U292" i="4"/>
  <c r="V419" i="4"/>
  <c r="W419" i="4" s="1"/>
  <c r="U419" i="4"/>
  <c r="V540" i="4"/>
  <c r="W540" i="4" s="1"/>
  <c r="U540" i="4"/>
  <c r="V254" i="4"/>
  <c r="W254" i="4" s="1"/>
  <c r="U254" i="4"/>
  <c r="V473" i="4"/>
  <c r="W473" i="4" s="1"/>
  <c r="U473" i="4"/>
  <c r="V421" i="4"/>
  <c r="W421" i="4" s="1"/>
  <c r="U421" i="4"/>
  <c r="U407" i="4"/>
  <c r="V407" i="4"/>
  <c r="W407" i="4" s="1"/>
  <c r="U478" i="4"/>
  <c r="V478" i="4"/>
  <c r="W478" i="4" s="1"/>
  <c r="U432" i="4"/>
  <c r="V432" i="4"/>
  <c r="W432" i="4" s="1"/>
  <c r="U210" i="4"/>
  <c r="V210" i="4"/>
  <c r="W210" i="4" s="1"/>
  <c r="U10" i="4"/>
  <c r="V10" i="4"/>
  <c r="W10" i="4" s="1"/>
  <c r="U11" i="4"/>
  <c r="V11" i="4"/>
  <c r="W11" i="4" s="1"/>
  <c r="V615" i="4"/>
  <c r="W615" i="4" s="1"/>
  <c r="U615" i="4"/>
  <c r="U576" i="4"/>
  <c r="V576" i="4"/>
  <c r="W576" i="4" s="1"/>
  <c r="V108" i="4"/>
  <c r="W108" i="4" s="1"/>
  <c r="U108" i="4"/>
  <c r="V25" i="4"/>
  <c r="W25" i="4" s="1"/>
  <c r="U25" i="4"/>
  <c r="U333" i="4"/>
  <c r="V333" i="4"/>
  <c r="W333" i="4" s="1"/>
  <c r="V86" i="4"/>
  <c r="W86" i="4" s="1"/>
  <c r="U86" i="4"/>
  <c r="V486" i="4"/>
  <c r="W486" i="4" s="1"/>
  <c r="U486" i="4"/>
  <c r="U143" i="4"/>
  <c r="V143" i="4"/>
  <c r="W143" i="4" s="1"/>
  <c r="V220" i="4"/>
  <c r="W220" i="4" s="1"/>
  <c r="U220" i="4"/>
  <c r="V468" i="4"/>
  <c r="W468" i="4" s="1"/>
  <c r="U468" i="4"/>
  <c r="V317" i="4"/>
  <c r="W317" i="4" s="1"/>
  <c r="U317" i="4"/>
  <c r="V338" i="4"/>
  <c r="W338" i="4" s="1"/>
  <c r="U338" i="4"/>
  <c r="V257" i="4"/>
  <c r="W257" i="4" s="1"/>
  <c r="U257" i="4"/>
  <c r="V121" i="4"/>
  <c r="W121" i="4" s="1"/>
  <c r="U121" i="4"/>
  <c r="V566" i="4"/>
  <c r="W566" i="4" s="1"/>
  <c r="U566" i="4"/>
  <c r="U221" i="4"/>
  <c r="V221" i="4"/>
  <c r="W221" i="4" s="1"/>
  <c r="U427" i="4"/>
  <c r="V427" i="4"/>
  <c r="W427" i="4" s="1"/>
  <c r="U343" i="4"/>
  <c r="V343" i="4"/>
  <c r="W343" i="4" s="1"/>
  <c r="U283" i="4"/>
  <c r="V283" i="4"/>
  <c r="W283" i="4" s="1"/>
  <c r="U77" i="4"/>
  <c r="V77" i="4"/>
  <c r="W77" i="4" s="1"/>
  <c r="V236" i="4"/>
  <c r="W236" i="4" s="1"/>
  <c r="U236" i="4"/>
  <c r="V140" i="4"/>
  <c r="W140" i="4" s="1"/>
  <c r="U140" i="4"/>
  <c r="U498" i="4"/>
  <c r="V498" i="4"/>
  <c r="W498" i="4" s="1"/>
  <c r="V479" i="4"/>
  <c r="W479" i="4" s="1"/>
  <c r="U479" i="4"/>
  <c r="U239" i="4"/>
  <c r="V239" i="4"/>
  <c r="W239" i="4" s="1"/>
  <c r="U42" i="4"/>
  <c r="V42" i="4"/>
  <c r="W42" i="4" s="1"/>
  <c r="U43" i="4"/>
  <c r="V43" i="4"/>
  <c r="W43" i="4" s="1"/>
  <c r="U596" i="4"/>
  <c r="V596" i="4"/>
  <c r="W596" i="4" s="1"/>
  <c r="V139" i="4"/>
  <c r="W139" i="4" s="1"/>
  <c r="U139" i="4"/>
  <c r="U358" i="4"/>
  <c r="V358" i="4"/>
  <c r="W358" i="4" s="1"/>
  <c r="V539" i="4"/>
  <c r="W539" i="4" s="1"/>
  <c r="U539" i="4"/>
  <c r="V222" i="4"/>
  <c r="W222" i="4" s="1"/>
  <c r="U222" i="4"/>
  <c r="U23" i="4"/>
  <c r="V23" i="4"/>
  <c r="W23" i="4" s="1"/>
  <c r="U205" i="4"/>
  <c r="V205" i="4"/>
  <c r="W205" i="4" s="1"/>
  <c r="U111" i="4"/>
  <c r="V111" i="4"/>
  <c r="W111" i="4" s="1"/>
  <c r="U203" i="4"/>
  <c r="V203" i="4"/>
  <c r="W203" i="4" s="1"/>
  <c r="U499" i="4"/>
  <c r="V499" i="4"/>
  <c r="W499" i="4" s="1"/>
  <c r="U71" i="4"/>
  <c r="V71" i="4"/>
  <c r="W71" i="4" s="1"/>
  <c r="V12" i="4"/>
  <c r="W12" i="4" s="1"/>
  <c r="U12" i="4"/>
  <c r="V45" i="4"/>
  <c r="W45" i="4" s="1"/>
  <c r="U45" i="4"/>
  <c r="V106" i="4"/>
  <c r="W106" i="4" s="1"/>
  <c r="U106" i="4"/>
  <c r="U199" i="4"/>
  <c r="V199" i="4"/>
  <c r="W199" i="4" s="1"/>
  <c r="V318" i="4"/>
  <c r="W318" i="4" s="1"/>
  <c r="U318" i="4"/>
  <c r="V586" i="4"/>
  <c r="W586" i="4" s="1"/>
  <c r="U586" i="4"/>
  <c r="U551" i="4"/>
  <c r="V551" i="4"/>
  <c r="W551" i="4" s="1"/>
  <c r="V267" i="4"/>
  <c r="W267" i="4" s="1"/>
  <c r="U267" i="4"/>
  <c r="V72" i="4"/>
  <c r="W72" i="4" s="1"/>
  <c r="U72" i="4"/>
  <c r="U616" i="4"/>
  <c r="V616" i="4"/>
  <c r="W616" i="4" s="1"/>
  <c r="V216" i="4"/>
  <c r="W216" i="4" s="1"/>
  <c r="U216" i="4"/>
  <c r="U378" i="4"/>
  <c r="V378" i="4"/>
  <c r="W378" i="4" s="1"/>
  <c r="U559" i="4"/>
  <c r="V559" i="4"/>
  <c r="W559" i="4" s="1"/>
  <c r="V274" i="4"/>
  <c r="W274" i="4" s="1"/>
  <c r="U274" i="4"/>
  <c r="U36" i="4"/>
  <c r="V36" i="4"/>
  <c r="W36" i="4" s="1"/>
  <c r="V561" i="4"/>
  <c r="W561" i="4" s="1"/>
  <c r="U561" i="4"/>
  <c r="V362" i="4"/>
  <c r="W362" i="4" s="1"/>
  <c r="U362" i="4"/>
  <c r="V383" i="4"/>
  <c r="W383" i="4" s="1"/>
  <c r="U383" i="4"/>
  <c r="U319" i="4"/>
  <c r="V319" i="4"/>
  <c r="W319" i="4" s="1"/>
  <c r="U229" i="4"/>
  <c r="V229" i="4"/>
  <c r="W229" i="4" s="1"/>
  <c r="V606" i="4"/>
  <c r="W606" i="4" s="1"/>
  <c r="U606" i="4"/>
  <c r="U241" i="4"/>
  <c r="V241" i="4"/>
  <c r="W241" i="4" s="1"/>
  <c r="U494" i="4"/>
  <c r="V494" i="4"/>
  <c r="W494" i="4" s="1"/>
  <c r="U388" i="4"/>
  <c r="V388" i="4"/>
  <c r="W388" i="4" s="1"/>
  <c r="V344" i="4"/>
  <c r="W344" i="4" s="1"/>
  <c r="U344" i="4"/>
  <c r="U97" i="4"/>
  <c r="V97" i="4"/>
  <c r="W97" i="4" s="1"/>
  <c r="U284" i="4"/>
  <c r="V284" i="4"/>
  <c r="W284" i="4" s="1"/>
  <c r="V227" i="4"/>
  <c r="W227" i="4" s="1"/>
  <c r="U227" i="4"/>
  <c r="U571" i="4"/>
  <c r="V571" i="4"/>
  <c r="W571" i="4" s="1"/>
  <c r="V552" i="4"/>
  <c r="W552" i="4" s="1"/>
  <c r="U552" i="4"/>
  <c r="V287" i="4"/>
  <c r="W287" i="4" s="1"/>
  <c r="U287" i="4"/>
  <c r="U103" i="4"/>
  <c r="V103" i="4"/>
  <c r="W103" i="4" s="1"/>
  <c r="U104" i="4"/>
  <c r="V104" i="4"/>
  <c r="W104" i="4" s="1"/>
  <c r="U44" i="4"/>
  <c r="V44" i="4"/>
  <c r="W44" i="4" s="1"/>
  <c r="V192" i="4"/>
  <c r="W192" i="4" s="1"/>
  <c r="U192" i="4"/>
  <c r="V248" i="4"/>
  <c r="W248" i="4" s="1"/>
  <c r="U248" i="4"/>
  <c r="U398" i="4"/>
  <c r="V398" i="4"/>
  <c r="W398" i="4" s="1"/>
  <c r="U579" i="4"/>
  <c r="V579" i="4"/>
  <c r="W579" i="4" s="1"/>
  <c r="V623" i="4"/>
  <c r="W623" i="4" s="1"/>
  <c r="U623" i="4"/>
  <c r="V28" i="4"/>
  <c r="W28" i="4" s="1"/>
  <c r="U28" i="4"/>
  <c r="V546" i="4"/>
  <c r="W546" i="4" s="1"/>
  <c r="U546" i="4"/>
  <c r="U278" i="4"/>
  <c r="V278" i="4"/>
  <c r="W278" i="4" s="1"/>
  <c r="V294" i="4"/>
  <c r="W294" i="4" s="1"/>
  <c r="U294" i="4"/>
  <c r="V382" i="4"/>
  <c r="W382" i="4" s="1"/>
  <c r="U382" i="4"/>
  <c r="U339" i="4"/>
  <c r="V339" i="4"/>
  <c r="W339" i="4" s="1"/>
  <c r="V29" i="4"/>
  <c r="W29" i="4" s="1"/>
  <c r="U29" i="4"/>
  <c r="V626" i="4"/>
  <c r="W626" i="4" s="1"/>
  <c r="U626" i="4"/>
  <c r="U547" i="4"/>
  <c r="V547" i="4"/>
  <c r="W547" i="4" s="1"/>
  <c r="U408" i="4"/>
  <c r="V408" i="4"/>
  <c r="W408" i="4" s="1"/>
  <c r="V369" i="4"/>
  <c r="W369" i="4" s="1"/>
  <c r="U369" i="4"/>
  <c r="U325" i="4"/>
  <c r="V325" i="4"/>
  <c r="W325" i="4" s="1"/>
  <c r="U591" i="4"/>
  <c r="V591" i="4"/>
  <c r="W591" i="4" s="1"/>
  <c r="U572" i="4"/>
  <c r="V572" i="4"/>
  <c r="W572" i="4" s="1"/>
  <c r="V328" i="4"/>
  <c r="W328" i="4" s="1"/>
  <c r="U328" i="4"/>
  <c r="U75" i="4"/>
  <c r="V75" i="4"/>
  <c r="W75" i="4" s="1"/>
  <c r="U271" i="4"/>
  <c r="V271" i="4"/>
  <c r="W271" i="4" s="1"/>
  <c r="U65" i="4"/>
  <c r="V65" i="4"/>
  <c r="W65" i="4" s="1"/>
  <c r="V418" i="4"/>
  <c r="W418" i="4" s="1"/>
  <c r="U418" i="4"/>
  <c r="U126" i="4"/>
  <c r="V126" i="4"/>
  <c r="W126" i="4" s="1"/>
  <c r="U599" i="4"/>
  <c r="V599" i="4"/>
  <c r="W599" i="4" s="1"/>
  <c r="U31" i="4"/>
  <c r="V31" i="4"/>
  <c r="W31" i="4" s="1"/>
  <c r="U323" i="4"/>
  <c r="V323" i="4"/>
  <c r="W323" i="4" s="1"/>
  <c r="V363" i="4"/>
  <c r="W363" i="4" s="1"/>
  <c r="U363" i="4"/>
  <c r="V581" i="4"/>
  <c r="W581" i="4" s="1"/>
  <c r="U581" i="4"/>
  <c r="V403" i="4"/>
  <c r="W403" i="4" s="1"/>
  <c r="U403" i="4"/>
  <c r="U258" i="4"/>
  <c r="V258" i="4"/>
  <c r="W258" i="4" s="1"/>
  <c r="U335" i="4"/>
  <c r="V335" i="4"/>
  <c r="W335" i="4" s="1"/>
  <c r="U223" i="4"/>
  <c r="V223" i="4"/>
  <c r="W223" i="4" s="1"/>
  <c r="V601" i="4"/>
  <c r="W601" i="4" s="1"/>
  <c r="U601" i="4"/>
  <c r="V402" i="4"/>
  <c r="W402" i="4" s="1"/>
  <c r="U402" i="4"/>
  <c r="V423" i="4"/>
  <c r="W423" i="4" s="1"/>
  <c r="U423" i="4"/>
  <c r="U364" i="4"/>
  <c r="V364" i="4"/>
  <c r="W364" i="4" s="1"/>
  <c r="U279" i="4"/>
  <c r="V279" i="4"/>
  <c r="W279" i="4" s="1"/>
  <c r="V61" i="4"/>
  <c r="W61" i="4" s="1"/>
  <c r="U61" i="4"/>
  <c r="V14" i="4"/>
  <c r="W14" i="4" s="1"/>
  <c r="U14" i="4"/>
  <c r="U261" i="4"/>
  <c r="V261" i="4"/>
  <c r="W261" i="4" s="1"/>
  <c r="U567" i="4"/>
  <c r="V567" i="4"/>
  <c r="W567" i="4" s="1"/>
  <c r="U428" i="4"/>
  <c r="V428" i="4"/>
  <c r="W428" i="4" s="1"/>
  <c r="V389" i="4"/>
  <c r="W389" i="4" s="1"/>
  <c r="U389" i="4"/>
  <c r="U117" i="4"/>
  <c r="V117" i="4"/>
  <c r="W117" i="4" s="1"/>
  <c r="U345" i="4"/>
  <c r="V345" i="4"/>
  <c r="W345" i="4" s="1"/>
  <c r="U611" i="4"/>
  <c r="V611" i="4"/>
  <c r="W611" i="4" s="1"/>
  <c r="U592" i="4"/>
  <c r="V592" i="4"/>
  <c r="W592" i="4" s="1"/>
  <c r="V348" i="4"/>
  <c r="W348" i="4" s="1"/>
  <c r="U348" i="4"/>
  <c r="U211" i="4"/>
  <c r="V211" i="4"/>
  <c r="W211" i="4" s="1"/>
  <c r="V214" i="4"/>
  <c r="W214" i="4" s="1"/>
  <c r="U214" i="4"/>
  <c r="V107" i="4"/>
  <c r="W107" i="4" s="1"/>
  <c r="U107" i="4"/>
  <c r="V212" i="4"/>
  <c r="W212" i="4" s="1"/>
  <c r="U212" i="4"/>
  <c r="V465" i="4"/>
  <c r="W465" i="4" s="1"/>
  <c r="U465" i="4"/>
  <c r="V619" i="4"/>
  <c r="W619" i="4" s="1"/>
  <c r="U619" i="4"/>
  <c r="V206" i="4"/>
  <c r="W206" i="4" s="1"/>
  <c r="U206" i="4"/>
  <c r="U587" i="4"/>
  <c r="V587" i="4"/>
  <c r="W587" i="4" s="1"/>
  <c r="U332" i="4"/>
  <c r="V332" i="4"/>
  <c r="W332" i="4" s="1"/>
  <c r="U492" i="4"/>
  <c r="V492" i="4"/>
  <c r="W492" i="4" s="1"/>
  <c r="U50" i="4"/>
  <c r="V50" i="4"/>
  <c r="W50" i="4" s="1"/>
  <c r="V262" i="4"/>
  <c r="W262" i="4" s="1"/>
  <c r="U262" i="4"/>
  <c r="U263" i="4"/>
  <c r="V263" i="4"/>
  <c r="W263" i="4" s="1"/>
  <c r="U219" i="4"/>
  <c r="V219" i="4"/>
  <c r="W219" i="4" s="1"/>
  <c r="U368" i="4"/>
  <c r="V368" i="4"/>
  <c r="W368" i="4" s="1"/>
  <c r="U320" i="4"/>
  <c r="V320" i="4"/>
  <c r="W320" i="4" s="1"/>
  <c r="V409" i="4"/>
  <c r="W409" i="4" s="1"/>
  <c r="U409" i="4"/>
  <c r="U612" i="4"/>
  <c r="V612" i="4"/>
  <c r="W612" i="4" s="1"/>
  <c r="U138" i="4"/>
  <c r="V138" i="4"/>
  <c r="W138" i="4" s="1"/>
  <c r="V485" i="4"/>
  <c r="W485" i="4" s="1"/>
  <c r="U485" i="4"/>
  <c r="U380" i="4"/>
  <c r="V380" i="4"/>
  <c r="W380" i="4" s="1"/>
  <c r="U22" i="4"/>
  <c r="V22" i="4"/>
  <c r="W22" i="4" s="1"/>
  <c r="U13" i="4"/>
  <c r="V13" i="4"/>
  <c r="W13" i="4" s="1"/>
  <c r="V469" i="4"/>
  <c r="W469" i="4" s="1"/>
  <c r="U469" i="4"/>
  <c r="V490" i="4"/>
  <c r="W490" i="4" s="1"/>
  <c r="U490" i="4"/>
  <c r="U404" i="4"/>
  <c r="V404" i="4"/>
  <c r="W404" i="4" s="1"/>
  <c r="U340" i="4"/>
  <c r="V340" i="4"/>
  <c r="W340" i="4" s="1"/>
  <c r="V122" i="4"/>
  <c r="W122" i="4" s="1"/>
  <c r="U122" i="4"/>
  <c r="V34" i="4"/>
  <c r="W34" i="4" s="1"/>
  <c r="U34" i="4"/>
  <c r="U56" i="4"/>
  <c r="V56" i="4"/>
  <c r="W56" i="4" s="1"/>
  <c r="U607" i="4"/>
  <c r="V607" i="4"/>
  <c r="W607" i="4" s="1"/>
  <c r="U495" i="4"/>
  <c r="V495" i="4"/>
  <c r="W495" i="4" s="1"/>
  <c r="V429" i="4"/>
  <c r="W429" i="4" s="1"/>
  <c r="U429" i="4"/>
  <c r="U137" i="4"/>
  <c r="V137" i="4"/>
  <c r="W137" i="4" s="1"/>
  <c r="U390" i="4"/>
  <c r="V390" i="4"/>
  <c r="W390" i="4" s="1"/>
  <c r="V38" i="4"/>
  <c r="W38" i="4" s="1"/>
  <c r="U38" i="4"/>
  <c r="V8" i="4"/>
  <c r="W8" i="4" s="1"/>
  <c r="U8" i="4"/>
  <c r="V632" i="4"/>
  <c r="W632" i="4" s="1"/>
  <c r="U632" i="4"/>
  <c r="V393" i="4"/>
  <c r="W393" i="4" s="1"/>
  <c r="U393" i="4"/>
  <c r="U269" i="4"/>
  <c r="V269" i="4"/>
  <c r="W269" i="4" s="1"/>
  <c r="V215" i="4"/>
  <c r="W215" i="4" s="1"/>
  <c r="U215" i="4"/>
  <c r="V232" i="4"/>
  <c r="W232" i="4" s="1"/>
  <c r="U232" i="4"/>
  <c r="U357" i="4"/>
  <c r="V357" i="4"/>
  <c r="W357" i="4" s="1"/>
  <c r="V538" i="4"/>
  <c r="W538" i="4" s="1"/>
  <c r="U538" i="4"/>
  <c r="V49" i="4"/>
  <c r="W49" i="4" s="1"/>
  <c r="U49" i="4"/>
  <c r="U33" i="4"/>
  <c r="V33" i="4"/>
  <c r="W33" i="4" s="1"/>
  <c r="V381" i="4"/>
  <c r="W381" i="4" s="1"/>
  <c r="U381" i="4"/>
  <c r="V276" i="4"/>
  <c r="W276" i="4" s="1"/>
  <c r="U276" i="4"/>
  <c r="V541" i="4"/>
  <c r="W541" i="4" s="1"/>
  <c r="U541" i="4"/>
  <c r="V324" i="4"/>
  <c r="W324" i="4" s="1"/>
  <c r="U324" i="4"/>
  <c r="U384" i="4"/>
  <c r="V384" i="4"/>
  <c r="W384" i="4" s="1"/>
  <c r="U475" i="4"/>
  <c r="V475" i="4"/>
  <c r="W475" i="4" s="1"/>
  <c r="V373" i="4"/>
  <c r="W373" i="4" s="1"/>
  <c r="U373" i="4"/>
  <c r="U400" i="4"/>
  <c r="V400" i="4"/>
  <c r="W400" i="4" s="1"/>
  <c r="U51" i="4"/>
  <c r="V51" i="4"/>
  <c r="W51" i="4" s="1"/>
  <c r="V489" i="4"/>
  <c r="W489" i="4" s="1"/>
  <c r="U489" i="4"/>
  <c r="V543" i="4"/>
  <c r="W543" i="4" s="1"/>
  <c r="U543" i="4"/>
  <c r="U424" i="4"/>
  <c r="V424" i="4"/>
  <c r="W424" i="4" s="1"/>
  <c r="U365" i="4"/>
  <c r="V365" i="4"/>
  <c r="W365" i="4" s="1"/>
  <c r="U198" i="4"/>
  <c r="V198" i="4"/>
  <c r="W198" i="4" s="1"/>
  <c r="U627" i="4"/>
  <c r="V627" i="4"/>
  <c r="W627" i="4" s="1"/>
  <c r="U548" i="4"/>
  <c r="V548" i="4"/>
  <c r="W548" i="4" s="1"/>
  <c r="V476" i="4"/>
  <c r="W476" i="4" s="1"/>
  <c r="U476" i="4"/>
  <c r="U410" i="4"/>
  <c r="V410" i="4"/>
  <c r="W410" i="4" s="1"/>
  <c r="V68" i="4"/>
  <c r="W68" i="4" s="1"/>
  <c r="U68" i="4"/>
  <c r="V39" i="4"/>
  <c r="W39" i="4" s="1"/>
  <c r="U39" i="4"/>
  <c r="U80" i="4"/>
  <c r="V80" i="4"/>
  <c r="W80" i="4" s="1"/>
  <c r="V413" i="4"/>
  <c r="W413" i="4" s="1"/>
  <c r="U413" i="4"/>
  <c r="V329" i="4"/>
  <c r="W329" i="4" s="1"/>
  <c r="U329" i="4"/>
  <c r="V289" i="4"/>
  <c r="W289" i="4" s="1"/>
  <c r="U289" i="4"/>
  <c r="V246" i="4"/>
  <c r="W246" i="4" s="1"/>
  <c r="U246" i="4"/>
  <c r="U377" i="4"/>
  <c r="V377" i="4"/>
  <c r="W377" i="4" s="1"/>
  <c r="U105" i="4"/>
  <c r="V105" i="4"/>
  <c r="W105" i="4" s="1"/>
  <c r="U558" i="4"/>
  <c r="V558" i="4"/>
  <c r="W558" i="4" s="1"/>
  <c r="U81" i="4"/>
  <c r="V81" i="4"/>
  <c r="W81" i="4" s="1"/>
  <c r="U136" i="4"/>
  <c r="V136" i="4"/>
  <c r="W136" i="4" s="1"/>
  <c r="V240" i="4"/>
  <c r="W240" i="4" s="1"/>
  <c r="U240" i="4"/>
  <c r="V89" i="4"/>
  <c r="W89" i="4" s="1"/>
  <c r="U89" i="4"/>
  <c r="U474" i="4"/>
  <c r="V474" i="4"/>
  <c r="W474" i="4" s="1"/>
  <c r="U360" i="4"/>
  <c r="V360" i="4"/>
  <c r="W360" i="4" s="1"/>
  <c r="V470" i="4"/>
  <c r="W470" i="4" s="1"/>
  <c r="U470" i="4"/>
  <c r="V7" i="4"/>
  <c r="W7" i="4" s="1"/>
  <c r="U7" i="4"/>
  <c r="U268" i="4"/>
  <c r="V268" i="4"/>
  <c r="W268" i="4" s="1"/>
  <c r="U85" i="4"/>
  <c r="V85" i="4"/>
  <c r="W85" i="4" s="1"/>
  <c r="V420" i="4"/>
  <c r="W420" i="4" s="1"/>
  <c r="U420" i="4"/>
  <c r="U83" i="4"/>
  <c r="V83" i="4"/>
  <c r="W83" i="4" s="1"/>
  <c r="U93" i="4"/>
  <c r="V93" i="4"/>
  <c r="W93" i="4" s="1"/>
  <c r="V542" i="4"/>
  <c r="W542" i="4" s="1"/>
  <c r="U542" i="4"/>
  <c r="V563" i="4"/>
  <c r="W563" i="4" s="1"/>
  <c r="U563" i="4"/>
  <c r="U471" i="4"/>
  <c r="V471" i="4"/>
  <c r="W471" i="4" s="1"/>
  <c r="U385" i="4"/>
  <c r="V385" i="4"/>
  <c r="W385" i="4" s="1"/>
  <c r="U230" i="4"/>
  <c r="V230" i="4"/>
  <c r="W230" i="4" s="1"/>
  <c r="V54" i="4"/>
  <c r="W54" i="4" s="1"/>
  <c r="U54" i="4"/>
  <c r="U30" i="4"/>
  <c r="V30" i="4"/>
  <c r="W30" i="4" s="1"/>
  <c r="U96" i="4"/>
  <c r="V96" i="4"/>
  <c r="W96" i="4" s="1"/>
  <c r="U568" i="4"/>
  <c r="V568" i="4"/>
  <c r="W568" i="4" s="1"/>
  <c r="V496" i="4"/>
  <c r="W496" i="4" s="1"/>
  <c r="U496" i="4"/>
  <c r="U204" i="4"/>
  <c r="V204" i="4"/>
  <c r="W204" i="4" s="1"/>
  <c r="U430" i="4"/>
  <c r="V430" i="4"/>
  <c r="W430" i="4" s="1"/>
  <c r="V99" i="4"/>
  <c r="W99" i="4" s="1"/>
  <c r="U99" i="4"/>
  <c r="V69" i="4"/>
  <c r="W69" i="4" s="1"/>
  <c r="U69" i="4"/>
  <c r="V433" i="4"/>
  <c r="W433" i="4" s="1"/>
  <c r="U433" i="4"/>
  <c r="V354" i="4"/>
  <c r="W354" i="4" s="1"/>
  <c r="U354" i="4"/>
  <c r="U330" i="4"/>
  <c r="V330" i="4"/>
  <c r="W330" i="4" s="1"/>
  <c r="U270" i="4"/>
  <c r="V270" i="4"/>
  <c r="W270" i="4" s="1"/>
  <c r="V252" i="4"/>
  <c r="W252" i="4" s="1"/>
  <c r="U252" i="4"/>
  <c r="U397" i="4"/>
  <c r="V397" i="4"/>
  <c r="W397" i="4" s="1"/>
  <c r="U578" i="4"/>
  <c r="V578" i="4"/>
  <c r="W578" i="4" s="1"/>
  <c r="U110" i="4"/>
  <c r="V110" i="4"/>
  <c r="W110" i="4" s="1"/>
  <c r="U584" i="4"/>
  <c r="V584" i="4"/>
  <c r="W584" i="4" s="1"/>
  <c r="U225" i="4"/>
  <c r="V225" i="4"/>
  <c r="W225" i="4" s="1"/>
  <c r="U228" i="4"/>
  <c r="V228" i="4"/>
  <c r="W228" i="4" s="1"/>
  <c r="V337" i="4"/>
  <c r="W337" i="4" s="1"/>
  <c r="U337" i="4"/>
  <c r="U264" i="4"/>
  <c r="V264" i="4"/>
  <c r="W264" i="4" s="1"/>
  <c r="V621" i="4"/>
  <c r="W621" i="4" s="1"/>
  <c r="U621" i="4"/>
  <c r="U90" i="4"/>
  <c r="V90" i="4"/>
  <c r="W90" i="4" s="1"/>
  <c r="U631" i="4"/>
  <c r="V631" i="4"/>
  <c r="W631" i="4" s="1"/>
  <c r="U245" i="4"/>
  <c r="V245" i="4"/>
  <c r="W245" i="4" s="1"/>
  <c r="V19" i="4"/>
  <c r="W19" i="4" s="1"/>
  <c r="U19" i="4"/>
  <c r="V467" i="4"/>
  <c r="W467" i="4" s="1"/>
  <c r="U467" i="4"/>
  <c r="V112" i="4"/>
  <c r="W112" i="4" s="1"/>
  <c r="U112" i="4"/>
  <c r="V562" i="4"/>
  <c r="W562" i="4" s="1"/>
  <c r="U562" i="4"/>
  <c r="V583" i="4"/>
  <c r="W583" i="4" s="1"/>
  <c r="U583" i="4"/>
  <c r="U491" i="4"/>
  <c r="V491" i="4"/>
  <c r="W491" i="4" s="1"/>
  <c r="U405" i="4"/>
  <c r="V405" i="4"/>
  <c r="W405" i="4" s="1"/>
  <c r="U259" i="4"/>
  <c r="V259" i="4"/>
  <c r="W259" i="4" s="1"/>
  <c r="U62" i="4"/>
  <c r="V62" i="4"/>
  <c r="W62" i="4" s="1"/>
  <c r="U588" i="4"/>
  <c r="V588" i="4"/>
  <c r="W588" i="4" s="1"/>
  <c r="V549" i="4"/>
  <c r="W549" i="4" s="1"/>
  <c r="U549" i="4"/>
  <c r="U477" i="4"/>
  <c r="V477" i="4"/>
  <c r="W477" i="4" s="1"/>
  <c r="V129" i="4"/>
  <c r="W129" i="4" s="1"/>
  <c r="U129" i="4"/>
  <c r="U101" i="4"/>
  <c r="V101" i="4"/>
  <c r="W101" i="4" s="1"/>
  <c r="V120" i="4"/>
  <c r="W120" i="4" s="1"/>
  <c r="U120" i="4"/>
  <c r="V480" i="4"/>
  <c r="W480" i="4" s="1"/>
  <c r="U480" i="4"/>
  <c r="V374" i="4"/>
  <c r="W374" i="4" s="1"/>
  <c r="U374" i="4"/>
  <c r="U355" i="4"/>
  <c r="V355" i="4"/>
  <c r="W355" i="4" s="1"/>
  <c r="U290" i="4"/>
  <c r="V290" i="4"/>
  <c r="W290" i="4" s="1"/>
  <c r="U417" i="4"/>
  <c r="V417" i="4"/>
  <c r="W417" i="4" s="1"/>
  <c r="U598" i="4"/>
  <c r="V598" i="4"/>
  <c r="W598" i="4" s="1"/>
  <c r="V142" i="4"/>
  <c r="W142" i="4" s="1"/>
  <c r="U142" i="4"/>
  <c r="V602" i="4"/>
  <c r="W602" i="4" s="1"/>
  <c r="U602" i="4"/>
  <c r="U560" i="4"/>
  <c r="V560" i="4"/>
  <c r="W560" i="4" s="1"/>
  <c r="U367" i="4"/>
  <c r="V367" i="4"/>
  <c r="W367" i="4" s="1"/>
  <c r="U16" i="4"/>
  <c r="V16" i="4"/>
  <c r="W16" i="4" s="1"/>
  <c r="V197" i="4"/>
  <c r="W197" i="4" s="1"/>
  <c r="U197" i="4"/>
  <c r="V422" i="4"/>
  <c r="W422" i="4" s="1"/>
  <c r="U422" i="4"/>
  <c r="U370" i="4"/>
  <c r="V370" i="4"/>
  <c r="W370" i="4" s="1"/>
  <c r="V487" i="4"/>
  <c r="W487" i="4" s="1"/>
  <c r="U487" i="4"/>
  <c r="U144" i="4"/>
  <c r="V144" i="4"/>
  <c r="W144" i="4" s="1"/>
  <c r="V200" i="4"/>
  <c r="W200" i="4" s="1"/>
  <c r="U200" i="4"/>
  <c r="V582" i="4"/>
  <c r="W582" i="4" s="1"/>
  <c r="U582" i="4"/>
  <c r="U603" i="4"/>
  <c r="V603" i="4"/>
  <c r="W603" i="4" s="1"/>
  <c r="U544" i="4"/>
  <c r="V544" i="4"/>
  <c r="W544" i="4" s="1"/>
  <c r="U425" i="4"/>
  <c r="V425" i="4"/>
  <c r="W425" i="4" s="1"/>
  <c r="V280" i="4"/>
  <c r="W280" i="4" s="1"/>
  <c r="U280" i="4"/>
  <c r="V74" i="4"/>
  <c r="W74" i="4" s="1"/>
  <c r="U74" i="4"/>
  <c r="U91" i="4"/>
  <c r="V91" i="4"/>
  <c r="W91" i="4" s="1"/>
  <c r="U243" i="4"/>
  <c r="V243" i="4"/>
  <c r="W243" i="4" s="1"/>
  <c r="U608" i="4"/>
  <c r="V608" i="4"/>
  <c r="W608" i="4" s="1"/>
  <c r="V569" i="4"/>
  <c r="W569" i="4" s="1"/>
  <c r="U569" i="4"/>
  <c r="U224" i="4"/>
  <c r="V224" i="4"/>
  <c r="W224" i="4" s="1"/>
  <c r="U497" i="4"/>
  <c r="V497" i="4"/>
  <c r="W497" i="4" s="1"/>
  <c r="V208" i="4"/>
  <c r="W208" i="4" s="1"/>
  <c r="U208" i="4"/>
  <c r="V209" i="4"/>
  <c r="W209" i="4" s="1"/>
  <c r="U209" i="4"/>
  <c r="V500" i="4"/>
  <c r="W500" i="4" s="1"/>
  <c r="U500" i="4"/>
  <c r="V394" i="4"/>
  <c r="W394" i="4" s="1"/>
  <c r="U394" i="4"/>
  <c r="U375" i="4"/>
  <c r="V375" i="4"/>
  <c r="W375" i="4" s="1"/>
  <c r="U331" i="4"/>
  <c r="V331" i="4"/>
  <c r="W331" i="4" s="1"/>
  <c r="V193" i="4"/>
  <c r="W193" i="4" s="1"/>
  <c r="U193" i="4"/>
  <c r="U464" i="4"/>
  <c r="V464" i="4"/>
  <c r="W464" i="4" s="1"/>
  <c r="V18" i="4"/>
  <c r="W18" i="4" s="1"/>
  <c r="U18" i="4"/>
  <c r="U618" i="4"/>
  <c r="V618" i="4"/>
  <c r="W618" i="4" s="1"/>
  <c r="U218" i="4"/>
  <c r="V218" i="4"/>
  <c r="W218" i="4" s="1"/>
  <c r="U564" i="4"/>
  <c r="V564" i="4"/>
  <c r="W564" i="4" s="1"/>
  <c r="V321" i="4"/>
  <c r="W321" i="4" s="1"/>
  <c r="U321" i="4"/>
  <c r="U123" i="4"/>
  <c r="V123" i="4"/>
  <c r="W123" i="4" s="1"/>
  <c r="U628" i="4"/>
  <c r="V628" i="4"/>
  <c r="W628" i="4" s="1"/>
  <c r="V589" i="4"/>
  <c r="W589" i="4" s="1"/>
  <c r="U589" i="4"/>
  <c r="V550" i="4"/>
  <c r="W550" i="4" s="1"/>
  <c r="U550" i="4"/>
  <c r="V237" i="4"/>
  <c r="W237" i="4" s="1"/>
  <c r="U237" i="4"/>
  <c r="U238" i="4"/>
  <c r="V238" i="4"/>
  <c r="W238" i="4" s="1"/>
  <c r="V207" i="4"/>
  <c r="W207" i="4" s="1"/>
  <c r="U207" i="4"/>
  <c r="V553" i="4"/>
  <c r="W553" i="4" s="1"/>
  <c r="U553" i="4"/>
  <c r="V395" i="4"/>
  <c r="W395" i="4" s="1"/>
  <c r="U395" i="4"/>
  <c r="U356" i="4"/>
  <c r="V356" i="4"/>
  <c r="W356" i="4" s="1"/>
  <c r="U484" i="4"/>
  <c r="V484" i="4"/>
  <c r="W484" i="4" s="1"/>
  <c r="V48" i="4"/>
  <c r="W48" i="4" s="1"/>
  <c r="U48" i="4"/>
  <c r="V6" i="4"/>
  <c r="W6" i="4" s="1"/>
  <c r="U6" i="4"/>
  <c r="U250" i="4"/>
  <c r="V250" i="4"/>
  <c r="W250" i="4" s="1"/>
  <c r="U570" i="4"/>
  <c r="V570" i="4"/>
  <c r="W570" i="4" s="1"/>
  <c r="U265" i="4"/>
  <c r="V265" i="4"/>
  <c r="W265" i="4" s="1"/>
  <c r="V266" i="4"/>
  <c r="W266" i="4" s="1"/>
  <c r="U266" i="4"/>
  <c r="V573" i="4"/>
  <c r="W573" i="4" s="1"/>
  <c r="U573" i="4"/>
  <c r="U376" i="4"/>
  <c r="V376" i="4"/>
  <c r="W376" i="4" s="1"/>
  <c r="V213" i="4"/>
  <c r="W213" i="4" s="1"/>
  <c r="U213" i="4"/>
  <c r="U537" i="4"/>
  <c r="V537" i="4"/>
  <c r="W537" i="4" s="1"/>
  <c r="V79" i="4"/>
  <c r="W79" i="4" s="1"/>
  <c r="U79" i="4"/>
  <c r="V273" i="4"/>
  <c r="W273" i="4" s="1"/>
  <c r="U273" i="4"/>
  <c r="V341" i="4"/>
  <c r="W341" i="4" s="1"/>
  <c r="U341" i="4"/>
  <c r="V580" i="4"/>
  <c r="W580" i="4" s="1"/>
  <c r="U580" i="4"/>
  <c r="V109" i="4"/>
  <c r="W109" i="4" s="1"/>
  <c r="U109" i="4"/>
  <c r="V26" i="4"/>
  <c r="W26" i="4" s="1"/>
  <c r="U26" i="4"/>
  <c r="U293" i="4"/>
  <c r="V293" i="4"/>
  <c r="W293" i="4" s="1"/>
  <c r="U545" i="4"/>
  <c r="V545" i="4"/>
  <c r="W545" i="4" s="1"/>
  <c r="V609" i="4"/>
  <c r="W609" i="4" s="1"/>
  <c r="U609" i="4"/>
  <c r="V275" i="4"/>
  <c r="W275" i="4" s="1"/>
  <c r="U275" i="4"/>
  <c r="V52" i="4"/>
  <c r="W52" i="4" s="1"/>
  <c r="U52" i="4"/>
  <c r="V24" i="4"/>
  <c r="W24" i="4" s="1"/>
  <c r="U24" i="4"/>
  <c r="U604" i="4"/>
  <c r="V604" i="4"/>
  <c r="W604" i="4" s="1"/>
  <c r="U565" i="4"/>
  <c r="V565" i="4"/>
  <c r="W565" i="4" s="1"/>
  <c r="V366" i="4"/>
  <c r="W366" i="4" s="1"/>
  <c r="U366" i="4"/>
  <c r="U231" i="4"/>
  <c r="V231" i="4"/>
  <c r="W231" i="4" s="1"/>
  <c r="U63" i="4"/>
  <c r="V63" i="4"/>
  <c r="W63" i="4" s="1"/>
  <c r="V32" i="4"/>
  <c r="W32" i="4" s="1"/>
  <c r="U32" i="4"/>
  <c r="V629" i="4"/>
  <c r="W629" i="4" s="1"/>
  <c r="U629" i="4"/>
  <c r="U590" i="4"/>
  <c r="V590" i="4"/>
  <c r="W590" i="4" s="1"/>
  <c r="U285" i="4"/>
  <c r="V285" i="4"/>
  <c r="W285" i="4" s="1"/>
  <c r="V286" i="4"/>
  <c r="W286" i="4" s="1"/>
  <c r="U286" i="4"/>
  <c r="V247" i="4"/>
  <c r="W247" i="4" s="1"/>
  <c r="U247" i="4"/>
  <c r="V593" i="4"/>
  <c r="W593" i="4" s="1"/>
  <c r="U593" i="4"/>
  <c r="V554" i="4"/>
  <c r="W554" i="4" s="1"/>
  <c r="U554" i="4"/>
  <c r="U396" i="4"/>
  <c r="V396" i="4"/>
  <c r="W396" i="4" s="1"/>
  <c r="U557" i="4"/>
  <c r="V557" i="4"/>
  <c r="W557" i="4" s="1"/>
  <c r="U600" i="4"/>
  <c r="V600" i="4"/>
  <c r="W600" i="4" s="1"/>
  <c r="U84" i="4"/>
  <c r="V84" i="4"/>
  <c r="W84" i="4" s="1"/>
  <c r="U55" i="4"/>
  <c r="V55" i="4"/>
  <c r="W55" i="4" s="1"/>
  <c r="V27" i="4"/>
  <c r="W27" i="4" s="1"/>
  <c r="U27" i="4"/>
  <c r="U624" i="4"/>
  <c r="V624" i="4"/>
  <c r="W624" i="4" s="1"/>
  <c r="U585" i="4"/>
  <c r="V585" i="4"/>
  <c r="W585" i="4" s="1"/>
  <c r="V386" i="4"/>
  <c r="W386" i="4" s="1"/>
  <c r="U386" i="4"/>
  <c r="V114" i="4"/>
  <c r="W114" i="4" s="1"/>
  <c r="U114" i="4"/>
  <c r="V260" i="4"/>
  <c r="W260" i="4" s="1"/>
  <c r="U260" i="4"/>
  <c r="V92" i="4"/>
  <c r="W92" i="4" s="1"/>
  <c r="U92" i="4"/>
  <c r="U64" i="4"/>
  <c r="V64" i="4"/>
  <c r="W64" i="4" s="1"/>
  <c r="U17" i="4"/>
  <c r="V17" i="4"/>
  <c r="W17" i="4" s="1"/>
  <c r="V4" i="4"/>
  <c r="W4" i="4" s="1"/>
  <c r="U4" i="4"/>
  <c r="V610" i="4"/>
  <c r="W610" i="4" s="1"/>
  <c r="U610" i="4"/>
  <c r="U346" i="4"/>
  <c r="V346" i="4"/>
  <c r="W346" i="4" s="1"/>
  <c r="U327" i="4"/>
  <c r="V327" i="4"/>
  <c r="W327" i="4" s="1"/>
  <c r="V613" i="4"/>
  <c r="W613" i="4" s="1"/>
  <c r="U613" i="4"/>
  <c r="V574" i="4"/>
  <c r="W574" i="4" s="1"/>
  <c r="U574" i="4"/>
  <c r="V482" i="4"/>
  <c r="W482" i="4" s="1"/>
  <c r="U482" i="4"/>
  <c r="V233" i="4"/>
  <c r="W233" i="4" s="1"/>
  <c r="U233" i="4"/>
  <c r="U577" i="4"/>
  <c r="V577" i="4"/>
  <c r="W577" i="4" s="1"/>
  <c r="V141" i="4"/>
  <c r="W141" i="4" s="1"/>
  <c r="U141" i="4"/>
  <c r="U334" i="4"/>
  <c r="V334" i="4"/>
  <c r="W334" i="4" s="1"/>
  <c r="V622" i="4"/>
  <c r="W622" i="4" s="1"/>
  <c r="U622" i="4"/>
  <c r="U244" i="4"/>
  <c r="V244" i="4"/>
  <c r="W244" i="4" s="1"/>
  <c r="V119" i="4"/>
  <c r="W119" i="4" s="1"/>
  <c r="U620" i="4"/>
  <c r="V620" i="4"/>
  <c r="W620" i="4" s="1"/>
  <c r="V336" i="4"/>
  <c r="W336" i="4" s="1"/>
  <c r="U336" i="4"/>
  <c r="U115" i="4"/>
  <c r="V115" i="4"/>
  <c r="W115" i="4" s="1"/>
  <c r="V87" i="4"/>
  <c r="W87" i="4" s="1"/>
  <c r="U87" i="4"/>
  <c r="V58" i="4"/>
  <c r="W58" i="4" s="1"/>
  <c r="U58" i="4"/>
  <c r="U605" i="4"/>
  <c r="V605" i="4"/>
  <c r="W605" i="4" s="1"/>
  <c r="U124" i="4"/>
  <c r="V124" i="4"/>
  <c r="W124" i="4" s="1"/>
  <c r="U95" i="4"/>
  <c r="V95" i="4"/>
  <c r="W95" i="4" s="1"/>
  <c r="V630" i="4"/>
  <c r="W630" i="4" s="1"/>
  <c r="U630" i="4"/>
  <c r="U371" i="4"/>
  <c r="V371" i="4"/>
  <c r="W371" i="4" s="1"/>
  <c r="V9" i="4"/>
  <c r="W9" i="4" s="1"/>
  <c r="U9" i="4"/>
  <c r="V633" i="4"/>
  <c r="W633" i="4" s="1"/>
  <c r="U633" i="4"/>
  <c r="V594" i="4"/>
  <c r="W594" i="4" s="1"/>
  <c r="U594" i="4"/>
  <c r="U502" i="4"/>
  <c r="V502" i="4"/>
  <c r="W502" i="4" s="1"/>
  <c r="U463" i="4"/>
  <c r="V463" i="4"/>
  <c r="W463" i="4" s="1"/>
  <c r="U597" i="4"/>
  <c r="V597" i="4"/>
  <c r="W597" i="4" s="1"/>
  <c r="V217" i="4"/>
  <c r="W217" i="4" s="1"/>
  <c r="U217" i="4"/>
  <c r="V46" i="4"/>
  <c r="W46" i="4" s="1"/>
  <c r="U46" i="4"/>
  <c r="U359" i="4"/>
  <c r="V359" i="4"/>
  <c r="W359" i="4" s="1"/>
  <c r="U73" i="4"/>
  <c r="V73" i="4"/>
  <c r="W73" i="4" s="1"/>
  <c r="V406" i="4"/>
  <c r="W406" i="4" s="1"/>
  <c r="U406" i="4"/>
  <c r="U281" i="4"/>
  <c r="V281" i="4"/>
  <c r="W281" i="4" s="1"/>
  <c r="U35" i="4"/>
  <c r="V35" i="4"/>
  <c r="W35" i="4" s="1"/>
  <c r="V21" i="4"/>
  <c r="W21" i="4" s="1"/>
  <c r="U21" i="4"/>
  <c r="U53" i="4"/>
  <c r="V53" i="4"/>
  <c r="W53" i="4" s="1"/>
  <c r="V361" i="4"/>
  <c r="W361" i="4" s="1"/>
  <c r="U361" i="4"/>
  <c r="V194" i="4"/>
  <c r="W194" i="4" s="1"/>
  <c r="U194" i="4"/>
  <c r="V118" i="4"/>
  <c r="W118" i="4" s="1"/>
  <c r="U118" i="4"/>
  <c r="V88" i="4"/>
  <c r="W88" i="4" s="1"/>
  <c r="U88" i="4"/>
  <c r="U625" i="4"/>
  <c r="V625" i="4"/>
  <c r="W625" i="4" s="1"/>
  <c r="V426" i="4"/>
  <c r="W426" i="4" s="1"/>
  <c r="U426" i="4"/>
  <c r="U322" i="4"/>
  <c r="V322" i="4"/>
  <c r="W322" i="4" s="1"/>
  <c r="V234" i="4"/>
  <c r="W234" i="4" s="1"/>
  <c r="U234" i="4"/>
  <c r="V127" i="4"/>
  <c r="W127" i="4" s="1"/>
  <c r="U127" i="4"/>
  <c r="U37" i="4"/>
  <c r="V37" i="4"/>
  <c r="W37" i="4" s="1"/>
  <c r="V67" i="4"/>
  <c r="W67" i="4" s="1"/>
  <c r="U67" i="4"/>
  <c r="U40" i="4"/>
  <c r="V40" i="4"/>
  <c r="W40" i="4" s="1"/>
  <c r="U391" i="4"/>
  <c r="V391" i="4"/>
  <c r="W391" i="4" s="1"/>
  <c r="U372" i="4"/>
  <c r="V372" i="4"/>
  <c r="W372" i="4" s="1"/>
  <c r="U41" i="4"/>
  <c r="V41" i="4"/>
  <c r="W41" i="4" s="1"/>
  <c r="V614" i="4"/>
  <c r="W614" i="4" s="1"/>
  <c r="U614" i="4"/>
  <c r="V555" i="4"/>
  <c r="W555" i="4" s="1"/>
  <c r="U555" i="4"/>
  <c r="U483" i="4"/>
  <c r="V483" i="4"/>
  <c r="W483" i="4" s="1"/>
  <c r="V15" i="4"/>
  <c r="W15" i="4" s="1"/>
  <c r="U15" i="4"/>
  <c r="U617" i="4"/>
  <c r="V617" i="4"/>
  <c r="W617" i="4" s="1"/>
  <c r="V249" i="4"/>
  <c r="W249" i="4" s="1"/>
  <c r="U249" i="4"/>
  <c r="U379" i="4"/>
  <c r="V379" i="4"/>
  <c r="W379" i="4" s="1"/>
  <c r="B503" i="17"/>
  <c r="A502" i="17"/>
  <c r="B526" i="17"/>
  <c r="B511" i="17"/>
  <c r="A142" i="17"/>
  <c r="B142" i="17"/>
  <c r="A143" i="17"/>
  <c r="B143" i="17"/>
  <c r="A489" i="17"/>
  <c r="B489" i="17"/>
  <c r="A491" i="17"/>
  <c r="B491" i="17"/>
  <c r="B490" i="17"/>
  <c r="A490" i="17"/>
  <c r="A144" i="17"/>
  <c r="B144" i="17"/>
  <c r="B510" i="17"/>
  <c r="B278" i="17"/>
  <c r="A278" i="17"/>
  <c r="A397" i="17"/>
  <c r="B397" i="17"/>
  <c r="B497" i="17"/>
  <c r="A497" i="17"/>
  <c r="B496" i="17"/>
  <c r="A496" i="17"/>
  <c r="B355" i="17"/>
  <c r="A355" i="17"/>
  <c r="A494" i="17"/>
  <c r="B494" i="17"/>
  <c r="A493" i="17"/>
  <c r="B493" i="17"/>
  <c r="B505" i="17"/>
  <c r="B495" i="17"/>
  <c r="A495" i="17"/>
  <c r="A492" i="17"/>
  <c r="B492" i="17"/>
  <c r="B527" i="17"/>
  <c r="B246" i="17"/>
  <c r="A246" i="17"/>
  <c r="B513" i="17"/>
  <c r="B504" i="17"/>
  <c r="B512" i="17"/>
  <c r="A522" i="17"/>
  <c r="A514" i="17"/>
  <c r="A506" i="17"/>
  <c r="A498" i="17"/>
  <c r="A524" i="17"/>
  <c r="B524" i="17"/>
  <c r="B515" i="17"/>
  <c r="A515" i="17"/>
  <c r="A509" i="17"/>
  <c r="B501" i="17"/>
  <c r="A508" i="17"/>
  <c r="B508" i="17"/>
  <c r="A507" i="17"/>
  <c r="B507" i="17"/>
  <c r="B525" i="17"/>
  <c r="A500" i="17"/>
  <c r="B500" i="17"/>
  <c r="A523" i="17"/>
  <c r="B523" i="17"/>
  <c r="A499" i="17"/>
  <c r="B499" i="17"/>
  <c r="Y488" i="17"/>
  <c r="Y141" i="17"/>
  <c r="Y140" i="17"/>
  <c r="B140" i="17" l="1"/>
  <c r="A140" i="17"/>
  <c r="A141" i="17"/>
  <c r="B141" i="17"/>
  <c r="B488" i="17"/>
  <c r="A488" i="17"/>
  <c r="Y487" i="17"/>
  <c r="O290" i="4"/>
  <c r="Y243" i="17"/>
  <c r="A487" i="17" l="1"/>
  <c r="B487" i="17"/>
  <c r="A243" i="17"/>
  <c r="B243" i="17"/>
  <c r="Y245" i="17"/>
  <c r="B245" i="17" l="1"/>
  <c r="A245" i="17"/>
  <c r="Y486" i="17"/>
  <c r="Y484" i="17"/>
  <c r="Y485" i="17"/>
  <c r="Y396" i="17"/>
  <c r="Y393" i="17"/>
  <c r="Y394" i="17"/>
  <c r="Y395" i="17"/>
  <c r="Y392" i="17"/>
  <c r="Y391" i="17"/>
  <c r="Y390" i="17"/>
  <c r="Y354" i="17"/>
  <c r="Y353" i="17"/>
  <c r="Y351" i="17"/>
  <c r="Y352" i="17"/>
  <c r="Y349" i="17"/>
  <c r="Y350" i="17"/>
  <c r="Y348" i="17"/>
  <c r="Y347" i="17"/>
  <c r="Y346" i="17"/>
  <c r="Y242" i="17"/>
  <c r="B348" i="17" l="1"/>
  <c r="A348" i="17"/>
  <c r="B350" i="17"/>
  <c r="A350" i="17"/>
  <c r="B351" i="17"/>
  <c r="A351" i="17"/>
  <c r="B390" i="17"/>
  <c r="A390" i="17"/>
  <c r="B346" i="17"/>
  <c r="A346" i="17"/>
  <c r="B391" i="17"/>
  <c r="A391" i="17"/>
  <c r="A349" i="17"/>
  <c r="B349" i="17"/>
  <c r="A393" i="17"/>
  <c r="B393" i="17"/>
  <c r="B485" i="17"/>
  <c r="A485" i="17"/>
  <c r="A354" i="17"/>
  <c r="B354" i="17"/>
  <c r="A484" i="17"/>
  <c r="B484" i="17"/>
  <c r="A347" i="17"/>
  <c r="B347" i="17"/>
  <c r="A353" i="17"/>
  <c r="B353" i="17"/>
  <c r="B395" i="17"/>
  <c r="A395" i="17"/>
  <c r="B394" i="17"/>
  <c r="A394" i="17"/>
  <c r="B486" i="17"/>
  <c r="A486" i="17"/>
  <c r="A352" i="17"/>
  <c r="B352" i="17"/>
  <c r="A392" i="17"/>
  <c r="B392" i="17"/>
  <c r="B396" i="17"/>
  <c r="A396" i="17"/>
  <c r="A242" i="17"/>
  <c r="B242" i="17"/>
  <c r="X425" i="4"/>
  <c r="X424" i="4"/>
  <c r="X289" i="4"/>
  <c r="X422" i="4"/>
  <c r="J57" i="7"/>
  <c r="J56" i="7"/>
  <c r="G57" i="7"/>
  <c r="G56" i="7"/>
  <c r="F57" i="7"/>
  <c r="F56" i="7"/>
  <c r="P57" i="7"/>
  <c r="P56" i="7"/>
  <c r="J55" i="7"/>
  <c r="N55" i="7"/>
  <c r="P622" i="4"/>
  <c r="Y483" i="17"/>
  <c r="S118" i="14"/>
  <c r="P181" i="6"/>
  <c r="P180" i="6"/>
  <c r="Y344" i="17"/>
  <c r="Y345" i="17"/>
  <c r="P420" i="4"/>
  <c r="P419" i="4"/>
  <c r="O420" i="4"/>
  <c r="O419" i="4"/>
  <c r="Y342" i="17"/>
  <c r="Y343" i="17"/>
  <c r="O418" i="4"/>
  <c r="P418" i="4"/>
  <c r="P417" i="4"/>
  <c r="O417" i="4"/>
  <c r="Y341" i="17"/>
  <c r="Y340" i="17"/>
  <c r="G416" i="4"/>
  <c r="T416" i="4" s="1"/>
  <c r="G415" i="4"/>
  <c r="T415" i="4" s="1"/>
  <c r="P414" i="4"/>
  <c r="O414" i="4"/>
  <c r="N414" i="4"/>
  <c r="G414" i="4"/>
  <c r="F414" i="4"/>
  <c r="O114" i="6"/>
  <c r="Y277" i="17"/>
  <c r="G347" i="4"/>
  <c r="T347" i="4" s="1"/>
  <c r="Y244" i="17"/>
  <c r="G291" i="4"/>
  <c r="T291" i="4" s="1"/>
  <c r="F291" i="4"/>
  <c r="G288" i="4"/>
  <c r="T288" i="4" s="1"/>
  <c r="F288" i="4"/>
  <c r="P288" i="4"/>
  <c r="Y241" i="17"/>
  <c r="Y240" i="17"/>
  <c r="Y239" i="17"/>
  <c r="Y238" i="17"/>
  <c r="P73" i="6"/>
  <c r="P74" i="6"/>
  <c r="P75" i="6"/>
  <c r="P72" i="6"/>
  <c r="J75" i="6"/>
  <c r="J74" i="6"/>
  <c r="J73" i="6"/>
  <c r="J72" i="6"/>
  <c r="Y237" i="17"/>
  <c r="Y139" i="17"/>
  <c r="Y138" i="17"/>
  <c r="Y137" i="17"/>
  <c r="Y136" i="17"/>
  <c r="Y135" i="17"/>
  <c r="Y134" i="17"/>
  <c r="G135" i="4"/>
  <c r="T135" i="4" s="1"/>
  <c r="G134" i="4"/>
  <c r="T134" i="4" s="1"/>
  <c r="G133" i="4"/>
  <c r="T133" i="4" s="1"/>
  <c r="G132" i="4"/>
  <c r="T132" i="4" s="1"/>
  <c r="G131" i="4"/>
  <c r="Y133" i="17"/>
  <c r="Y132" i="17"/>
  <c r="P32" i="6"/>
  <c r="O31" i="6"/>
  <c r="O32" i="6"/>
  <c r="P31" i="6"/>
  <c r="Y127" i="17"/>
  <c r="Y128" i="17"/>
  <c r="Y129" i="17"/>
  <c r="Y130" i="17"/>
  <c r="Y131" i="17"/>
  <c r="Y126" i="17"/>
  <c r="Y125" i="17"/>
  <c r="Y124" i="17"/>
  <c r="Y123" i="17"/>
  <c r="Y122" i="17"/>
  <c r="Y121" i="17"/>
  <c r="O118" i="4"/>
  <c r="Y120" i="17"/>
  <c r="P8" i="10"/>
  <c r="Y119" i="17"/>
  <c r="U416" i="4" l="1"/>
  <c r="V416" i="4"/>
  <c r="W416" i="4" s="1"/>
  <c r="U132" i="4"/>
  <c r="V132" i="4"/>
  <c r="W132" i="4" s="1"/>
  <c r="J4" i="20"/>
  <c r="J3" i="20"/>
  <c r="B4" i="20"/>
  <c r="B3" i="20"/>
  <c r="T131" i="4"/>
  <c r="V135" i="4"/>
  <c r="W135" i="4" s="1"/>
  <c r="U135" i="4"/>
  <c r="U134" i="4"/>
  <c r="V134" i="4"/>
  <c r="W134" i="4" s="1"/>
  <c r="N4" i="20"/>
  <c r="O4" i="20" s="1"/>
  <c r="N3" i="20"/>
  <c r="O3" i="20" s="1"/>
  <c r="F4" i="20"/>
  <c r="G4" i="20" s="1"/>
  <c r="F3" i="20"/>
  <c r="G3" i="20" s="1"/>
  <c r="V288" i="4"/>
  <c r="W288" i="4" s="1"/>
  <c r="U288" i="4"/>
  <c r="V415" i="4"/>
  <c r="W415" i="4" s="1"/>
  <c r="U415" i="4"/>
  <c r="U291" i="4"/>
  <c r="V291" i="4"/>
  <c r="W291" i="4" s="1"/>
  <c r="V133" i="4"/>
  <c r="W133" i="4" s="1"/>
  <c r="U133" i="4"/>
  <c r="T414" i="4"/>
  <c r="V347" i="4"/>
  <c r="W347" i="4" s="1"/>
  <c r="U347" i="4"/>
  <c r="A127" i="17"/>
  <c r="B127" i="17"/>
  <c r="A344" i="17"/>
  <c r="B344" i="17"/>
  <c r="A128" i="17"/>
  <c r="B128" i="17"/>
  <c r="A237" i="17"/>
  <c r="B237" i="17"/>
  <c r="Y339" i="17"/>
  <c r="A139" i="17"/>
  <c r="B139" i="17"/>
  <c r="A132" i="17"/>
  <c r="B132" i="17"/>
  <c r="A483" i="17"/>
  <c r="B483" i="17"/>
  <c r="A277" i="17"/>
  <c r="B277" i="17"/>
  <c r="A133" i="17"/>
  <c r="B133" i="17"/>
  <c r="A129" i="17"/>
  <c r="B129" i="17"/>
  <c r="A238" i="17"/>
  <c r="B238" i="17"/>
  <c r="B130" i="17"/>
  <c r="A130" i="17"/>
  <c r="B345" i="17"/>
  <c r="A345" i="17"/>
  <c r="A239" i="17"/>
  <c r="B239" i="17"/>
  <c r="B340" i="17"/>
  <c r="A340" i="17"/>
  <c r="A119" i="17"/>
  <c r="B119" i="17"/>
  <c r="B240" i="17"/>
  <c r="A240" i="17"/>
  <c r="A341" i="17"/>
  <c r="B341" i="17"/>
  <c r="B126" i="17"/>
  <c r="A126" i="17"/>
  <c r="B120" i="17"/>
  <c r="A120" i="17"/>
  <c r="A121" i="17"/>
  <c r="B121" i="17"/>
  <c r="A241" i="17"/>
  <c r="B241" i="17"/>
  <c r="A122" i="17"/>
  <c r="B122" i="17"/>
  <c r="A123" i="17"/>
  <c r="B123" i="17"/>
  <c r="B124" i="17"/>
  <c r="A124" i="17"/>
  <c r="B135" i="17"/>
  <c r="A135" i="17"/>
  <c r="A134" i="17"/>
  <c r="B134" i="17"/>
  <c r="B125" i="17"/>
  <c r="A125" i="17"/>
  <c r="B136" i="17"/>
  <c r="A136" i="17"/>
  <c r="A343" i="17"/>
  <c r="B343" i="17"/>
  <c r="A137" i="17"/>
  <c r="B137" i="17"/>
  <c r="B342" i="17"/>
  <c r="A342" i="17"/>
  <c r="A131" i="17"/>
  <c r="B131" i="17"/>
  <c r="B138" i="17"/>
  <c r="A138" i="17"/>
  <c r="A244" i="17"/>
  <c r="B244" i="17"/>
  <c r="X125" i="4"/>
  <c r="Y118" i="17"/>
  <c r="P111" i="4"/>
  <c r="Y116" i="17"/>
  <c r="Y117" i="17"/>
  <c r="Y113" i="17"/>
  <c r="U131" i="4" l="1"/>
  <c r="V131" i="4"/>
  <c r="W131" i="4" s="1"/>
  <c r="V414" i="4"/>
  <c r="W414" i="4" s="1"/>
  <c r="U414" i="4"/>
  <c r="A113" i="17"/>
  <c r="B113" i="17"/>
  <c r="A339" i="17"/>
  <c r="B339" i="17"/>
  <c r="B116" i="17"/>
  <c r="A116" i="17"/>
  <c r="B118" i="17"/>
  <c r="A118" i="17"/>
  <c r="A117" i="17"/>
  <c r="B117" i="17"/>
  <c r="Y254" i="17"/>
  <c r="Y255" i="17"/>
  <c r="Y256" i="17"/>
  <c r="Y257" i="17"/>
  <c r="Y258" i="17"/>
  <c r="Y259" i="17"/>
  <c r="Y260" i="17"/>
  <c r="Y261" i="17"/>
  <c r="Y262" i="17"/>
  <c r="Y263" i="17"/>
  <c r="Y264" i="17"/>
  <c r="Y265" i="17"/>
  <c r="Y266" i="17"/>
  <c r="Y267" i="17"/>
  <c r="Y268" i="17"/>
  <c r="Y269" i="17"/>
  <c r="Y270" i="17"/>
  <c r="Y271" i="17"/>
  <c r="Y272" i="17"/>
  <c r="Y273" i="17"/>
  <c r="Y274" i="17"/>
  <c r="Y275" i="17"/>
  <c r="Y276" i="17"/>
  <c r="Y279" i="17"/>
  <c r="Y280" i="17"/>
  <c r="Y281" i="17"/>
  <c r="Y282" i="17"/>
  <c r="Y283" i="17"/>
  <c r="Y284" i="17"/>
  <c r="Y285" i="17"/>
  <c r="Y286" i="17"/>
  <c r="Y287" i="17"/>
  <c r="Y288" i="17"/>
  <c r="Y289" i="17"/>
  <c r="Y290" i="17"/>
  <c r="Y291" i="17"/>
  <c r="Y292" i="17"/>
  <c r="Y293" i="17"/>
  <c r="Y294" i="17"/>
  <c r="Y295" i="17"/>
  <c r="Y296" i="17"/>
  <c r="Y297" i="17"/>
  <c r="Y298" i="17"/>
  <c r="Y299" i="17"/>
  <c r="Y300" i="17"/>
  <c r="Y301" i="17"/>
  <c r="Y302" i="17"/>
  <c r="Y303" i="17"/>
  <c r="Y304" i="17"/>
  <c r="Y305" i="17"/>
  <c r="Y306" i="17"/>
  <c r="Y307" i="17"/>
  <c r="Y308" i="17"/>
  <c r="Y309" i="17"/>
  <c r="Y310" i="17"/>
  <c r="Y311" i="17"/>
  <c r="Y312" i="17"/>
  <c r="Y313" i="17"/>
  <c r="Y314" i="17"/>
  <c r="Y315" i="17"/>
  <c r="Y316" i="17"/>
  <c r="Y317" i="17"/>
  <c r="Y318" i="17"/>
  <c r="Y319" i="17"/>
  <c r="Y320" i="17"/>
  <c r="Y321" i="17"/>
  <c r="Y322" i="17"/>
  <c r="Y323" i="17"/>
  <c r="Y324" i="17"/>
  <c r="Y325" i="17"/>
  <c r="Y326" i="17"/>
  <c r="Y327" i="17"/>
  <c r="Y328" i="17"/>
  <c r="Y329" i="17"/>
  <c r="Y330" i="17"/>
  <c r="Y331" i="17"/>
  <c r="Y332" i="17"/>
  <c r="Y333" i="17"/>
  <c r="Y334" i="17"/>
  <c r="Y335" i="17"/>
  <c r="Y336" i="17"/>
  <c r="Y337" i="17"/>
  <c r="Y338" i="17"/>
  <c r="Y356" i="17"/>
  <c r="Y357" i="17"/>
  <c r="Y358" i="17"/>
  <c r="Y359" i="17"/>
  <c r="Y360" i="17"/>
  <c r="Y361" i="17"/>
  <c r="Y362" i="17"/>
  <c r="Y363" i="17"/>
  <c r="Y364" i="17"/>
  <c r="Y365" i="17"/>
  <c r="Y366" i="17"/>
  <c r="Y367" i="17"/>
  <c r="Y368" i="17"/>
  <c r="Y369" i="17"/>
  <c r="Y370" i="17"/>
  <c r="Y371" i="17"/>
  <c r="Y372" i="17"/>
  <c r="Y373" i="17"/>
  <c r="Y374" i="17"/>
  <c r="Y375" i="17"/>
  <c r="Y376" i="17"/>
  <c r="Y377" i="17"/>
  <c r="Y378" i="17"/>
  <c r="Y379" i="17"/>
  <c r="Y380" i="17"/>
  <c r="Y381" i="17"/>
  <c r="Y382" i="17"/>
  <c r="Y383" i="17"/>
  <c r="Y384" i="17"/>
  <c r="Y385" i="17"/>
  <c r="Y386" i="17"/>
  <c r="Y387" i="17"/>
  <c r="Y388" i="17"/>
  <c r="Y389" i="17"/>
  <c r="Y398" i="17"/>
  <c r="Y399" i="17"/>
  <c r="Y400" i="17"/>
  <c r="Y401" i="17"/>
  <c r="Y402" i="17"/>
  <c r="Y403" i="17"/>
  <c r="Y404" i="17"/>
  <c r="Y405" i="17"/>
  <c r="Y406" i="17"/>
  <c r="Y407" i="17"/>
  <c r="Y408" i="17"/>
  <c r="Y409" i="17"/>
  <c r="Y410" i="17"/>
  <c r="Y411" i="17"/>
  <c r="Y412" i="17"/>
  <c r="Y413" i="17"/>
  <c r="Y414" i="17"/>
  <c r="Y415" i="17"/>
  <c r="Y416" i="17"/>
  <c r="Y417" i="17"/>
  <c r="Y418" i="17"/>
  <c r="Y419" i="17"/>
  <c r="Y420" i="17"/>
  <c r="Y421" i="17"/>
  <c r="Y422" i="17"/>
  <c r="Y423" i="17"/>
  <c r="Y424" i="17"/>
  <c r="Y425" i="17"/>
  <c r="Y426" i="17"/>
  <c r="Y427" i="17"/>
  <c r="Y428" i="17"/>
  <c r="Y429" i="17"/>
  <c r="Y430" i="17"/>
  <c r="Y431" i="17"/>
  <c r="Y432" i="17"/>
  <c r="Y433" i="17"/>
  <c r="Y434" i="17"/>
  <c r="Y435" i="17"/>
  <c r="Y436" i="17"/>
  <c r="Y437" i="17"/>
  <c r="Y438" i="17"/>
  <c r="Y439" i="17"/>
  <c r="Y440" i="17"/>
  <c r="Y441" i="17"/>
  <c r="Y442" i="17"/>
  <c r="Y443" i="17"/>
  <c r="Y444" i="17"/>
  <c r="Y445" i="17"/>
  <c r="Y446" i="17"/>
  <c r="Y447" i="17"/>
  <c r="Y448" i="17"/>
  <c r="Y449" i="17"/>
  <c r="Y450" i="17"/>
  <c r="Y451" i="17"/>
  <c r="Y452" i="17"/>
  <c r="Y453" i="17"/>
  <c r="Y454" i="17"/>
  <c r="Y455" i="17"/>
  <c r="Y456" i="17"/>
  <c r="Y457" i="17"/>
  <c r="Y458" i="17"/>
  <c r="Y459" i="17"/>
  <c r="Y460" i="17"/>
  <c r="Y461" i="17"/>
  <c r="Y462" i="17"/>
  <c r="Y463" i="17"/>
  <c r="Y464" i="17"/>
  <c r="Y465" i="17"/>
  <c r="Y466" i="17"/>
  <c r="Y467" i="17"/>
  <c r="Y468" i="17"/>
  <c r="Y469" i="17"/>
  <c r="Y470" i="17"/>
  <c r="Y471" i="17"/>
  <c r="Y472" i="17"/>
  <c r="Y473" i="17"/>
  <c r="Y474" i="17"/>
  <c r="Y475" i="17"/>
  <c r="Y476" i="17"/>
  <c r="Y477" i="17"/>
  <c r="Y478" i="17"/>
  <c r="Y479" i="17"/>
  <c r="Y480" i="17"/>
  <c r="Y481" i="17"/>
  <c r="Y482" i="17"/>
  <c r="Y247" i="17"/>
  <c r="Y248" i="17"/>
  <c r="Y249" i="17"/>
  <c r="Y250" i="17"/>
  <c r="Y251" i="17"/>
  <c r="Y252" i="17"/>
  <c r="Y253" i="17"/>
  <c r="Y231" i="17"/>
  <c r="Y232" i="17"/>
  <c r="Y233" i="17"/>
  <c r="Y234" i="17"/>
  <c r="Y235" i="17"/>
  <c r="Y236" i="17"/>
  <c r="Y6" i="17"/>
  <c r="Y7" i="17"/>
  <c r="Y8" i="17"/>
  <c r="Y9" i="17"/>
  <c r="Y10" i="17"/>
  <c r="Y11" i="17"/>
  <c r="Y12" i="17"/>
  <c r="Y13" i="17"/>
  <c r="Y14" i="17"/>
  <c r="Y15" i="17"/>
  <c r="Y16" i="17"/>
  <c r="Y17" i="17"/>
  <c r="Y18" i="17"/>
  <c r="Y19" i="17"/>
  <c r="Y20" i="17"/>
  <c r="Y21" i="17"/>
  <c r="Y22" i="17"/>
  <c r="Y23" i="17"/>
  <c r="Y24" i="17"/>
  <c r="Y25" i="17"/>
  <c r="Y26" i="17"/>
  <c r="Y27" i="17"/>
  <c r="Y28" i="17"/>
  <c r="Y29" i="17"/>
  <c r="Y30" i="17"/>
  <c r="Y31" i="17"/>
  <c r="Y32" i="17"/>
  <c r="Y33" i="17"/>
  <c r="Y34" i="17"/>
  <c r="Y35" i="17"/>
  <c r="Y36" i="17"/>
  <c r="Y37" i="17"/>
  <c r="Y38" i="17"/>
  <c r="Y39" i="17"/>
  <c r="Y40" i="17"/>
  <c r="Y41" i="17"/>
  <c r="Y42" i="17"/>
  <c r="Y43" i="17"/>
  <c r="Y44" i="17"/>
  <c r="Y45" i="17"/>
  <c r="Y46" i="17"/>
  <c r="Y47" i="17"/>
  <c r="Y48" i="17"/>
  <c r="Y49" i="17"/>
  <c r="Y50" i="17"/>
  <c r="Y51" i="17"/>
  <c r="Y52" i="17"/>
  <c r="Y53" i="17"/>
  <c r="Y54" i="17"/>
  <c r="Y55" i="17"/>
  <c r="Y56" i="17"/>
  <c r="Y57" i="17"/>
  <c r="Y58" i="17"/>
  <c r="Y59" i="17"/>
  <c r="Y60" i="17"/>
  <c r="Y61" i="17"/>
  <c r="Y62" i="17"/>
  <c r="Y63" i="17"/>
  <c r="Y64" i="17"/>
  <c r="Y65" i="17"/>
  <c r="Y66" i="17"/>
  <c r="Y67" i="17"/>
  <c r="Y68" i="17"/>
  <c r="Y69" i="17"/>
  <c r="Y70" i="17"/>
  <c r="Y71" i="17"/>
  <c r="Y72" i="17"/>
  <c r="Y73" i="17"/>
  <c r="Y74" i="17"/>
  <c r="Y75" i="17"/>
  <c r="Y76" i="17"/>
  <c r="Y77" i="17"/>
  <c r="Y78" i="17"/>
  <c r="Y79" i="17"/>
  <c r="Y80" i="17"/>
  <c r="Y81" i="17"/>
  <c r="Y82" i="17"/>
  <c r="Y83" i="17"/>
  <c r="Y84" i="17"/>
  <c r="Y85" i="17"/>
  <c r="Y86" i="17"/>
  <c r="Y87" i="17"/>
  <c r="Y88" i="17"/>
  <c r="Y89" i="17"/>
  <c r="Y90" i="17"/>
  <c r="Y91" i="17"/>
  <c r="Y92" i="17"/>
  <c r="Y93" i="17"/>
  <c r="Y94" i="17"/>
  <c r="Y95" i="17"/>
  <c r="Y96" i="17"/>
  <c r="Y97" i="17"/>
  <c r="Y98" i="17"/>
  <c r="Y99" i="17"/>
  <c r="Y100" i="17"/>
  <c r="Y101" i="17"/>
  <c r="Y102" i="17"/>
  <c r="Y103" i="17"/>
  <c r="Y104" i="17"/>
  <c r="Y105" i="17"/>
  <c r="Y106" i="17"/>
  <c r="Y107" i="17"/>
  <c r="Y108" i="17"/>
  <c r="Y109" i="17"/>
  <c r="Y110" i="17"/>
  <c r="Y111" i="17"/>
  <c r="Y112" i="17"/>
  <c r="Y114" i="17"/>
  <c r="Y115" i="17"/>
  <c r="Y145" i="17"/>
  <c r="Y146" i="17"/>
  <c r="Y147" i="17"/>
  <c r="Y148" i="17"/>
  <c r="Y149" i="17"/>
  <c r="Y150" i="17"/>
  <c r="Y151" i="17"/>
  <c r="Y152" i="17"/>
  <c r="Y153" i="17"/>
  <c r="Y154" i="17"/>
  <c r="Y155" i="17"/>
  <c r="Y156" i="17"/>
  <c r="Y157" i="17"/>
  <c r="Y158" i="17"/>
  <c r="Y159" i="17"/>
  <c r="Y160" i="17"/>
  <c r="Y161" i="17"/>
  <c r="Y162" i="17"/>
  <c r="Y163" i="17"/>
  <c r="Y164" i="17"/>
  <c r="Y165" i="17"/>
  <c r="Y166" i="17"/>
  <c r="Y167" i="17"/>
  <c r="Y168" i="17"/>
  <c r="Y169" i="17"/>
  <c r="Y170" i="17"/>
  <c r="Y171" i="17"/>
  <c r="Y172" i="17"/>
  <c r="Y173" i="17"/>
  <c r="Y174" i="17"/>
  <c r="Y175" i="17"/>
  <c r="Y176" i="17"/>
  <c r="Y177" i="17"/>
  <c r="Y178" i="17"/>
  <c r="Y179" i="17"/>
  <c r="Y180" i="17"/>
  <c r="Y181" i="17"/>
  <c r="Y182" i="17"/>
  <c r="Y183" i="17"/>
  <c r="Y184" i="17"/>
  <c r="Y185" i="17"/>
  <c r="Y186" i="17"/>
  <c r="Y187" i="17"/>
  <c r="Y188" i="17"/>
  <c r="Y189" i="17"/>
  <c r="Y190" i="17"/>
  <c r="Y191" i="17"/>
  <c r="Y192" i="17"/>
  <c r="Y193" i="17"/>
  <c r="Y194" i="17"/>
  <c r="Y195" i="17"/>
  <c r="Y196" i="17"/>
  <c r="Y197" i="17"/>
  <c r="Y198" i="17"/>
  <c r="Y199" i="17"/>
  <c r="Y200" i="17"/>
  <c r="Y201" i="17"/>
  <c r="Y202" i="17"/>
  <c r="Y203" i="17"/>
  <c r="Y204" i="17"/>
  <c r="Y205" i="17"/>
  <c r="Y206" i="17"/>
  <c r="Y207" i="17"/>
  <c r="Y208" i="17"/>
  <c r="Y209" i="17"/>
  <c r="Y210" i="17"/>
  <c r="Y211" i="17"/>
  <c r="Y212" i="17"/>
  <c r="Y213" i="17"/>
  <c r="Y214" i="17"/>
  <c r="Y215" i="17"/>
  <c r="Y216" i="17"/>
  <c r="Y217" i="17"/>
  <c r="Y218" i="17"/>
  <c r="Y219" i="17"/>
  <c r="Y220" i="17"/>
  <c r="Y221" i="17"/>
  <c r="Y222" i="17"/>
  <c r="Y223" i="17"/>
  <c r="Y224" i="17"/>
  <c r="Y225" i="17"/>
  <c r="Y226" i="17"/>
  <c r="Y227" i="17"/>
  <c r="Y228" i="17"/>
  <c r="Y229" i="17"/>
  <c r="Y230" i="17"/>
  <c r="A189" i="17" l="1"/>
  <c r="B189" i="17"/>
  <c r="A169" i="17"/>
  <c r="B169" i="17"/>
  <c r="A149" i="17"/>
  <c r="B149" i="17"/>
  <c r="A99" i="17"/>
  <c r="B99" i="17"/>
  <c r="A79" i="17"/>
  <c r="B79" i="17"/>
  <c r="A59" i="17"/>
  <c r="B59" i="17"/>
  <c r="A39" i="17"/>
  <c r="B39" i="17"/>
  <c r="A19" i="17"/>
  <c r="B19" i="17"/>
  <c r="A231" i="17"/>
  <c r="B231" i="17"/>
  <c r="B470" i="17"/>
  <c r="A470" i="17"/>
  <c r="B450" i="17"/>
  <c r="A450" i="17"/>
  <c r="B430" i="17"/>
  <c r="A430" i="17"/>
  <c r="B410" i="17"/>
  <c r="A410" i="17"/>
  <c r="A382" i="17"/>
  <c r="B382" i="17"/>
  <c r="A362" i="17"/>
  <c r="B362" i="17"/>
  <c r="B325" i="17"/>
  <c r="A325" i="17"/>
  <c r="B305" i="17"/>
  <c r="A305" i="17"/>
  <c r="B285" i="17"/>
  <c r="A285" i="17"/>
  <c r="A263" i="17"/>
  <c r="B263" i="17"/>
  <c r="A168" i="17"/>
  <c r="B168" i="17"/>
  <c r="A148" i="17"/>
  <c r="B148" i="17"/>
  <c r="B98" i="17"/>
  <c r="A98" i="17"/>
  <c r="B78" i="17"/>
  <c r="A78" i="17"/>
  <c r="B58" i="17"/>
  <c r="A58" i="17"/>
  <c r="A38" i="17"/>
  <c r="B38" i="17"/>
  <c r="B18" i="17"/>
  <c r="A18" i="17"/>
  <c r="A253" i="17"/>
  <c r="B253" i="17"/>
  <c r="B469" i="17"/>
  <c r="A469" i="17"/>
  <c r="A449" i="17"/>
  <c r="B449" i="17"/>
  <c r="B429" i="17"/>
  <c r="A429" i="17"/>
  <c r="A409" i="17"/>
  <c r="B409" i="17"/>
  <c r="A381" i="17"/>
  <c r="B381" i="17"/>
  <c r="A361" i="17"/>
  <c r="B361" i="17"/>
  <c r="A324" i="17"/>
  <c r="B324" i="17"/>
  <c r="A304" i="17"/>
  <c r="B304" i="17"/>
  <c r="A284" i="17"/>
  <c r="B284" i="17"/>
  <c r="A262" i="17"/>
  <c r="B262" i="17"/>
  <c r="A147" i="17"/>
  <c r="B147" i="17"/>
  <c r="A97" i="17"/>
  <c r="B97" i="17"/>
  <c r="A77" i="17"/>
  <c r="B77" i="17"/>
  <c r="A57" i="17"/>
  <c r="B57" i="17"/>
  <c r="A37" i="17"/>
  <c r="B37" i="17"/>
  <c r="A17" i="17"/>
  <c r="B17" i="17"/>
  <c r="A252" i="17"/>
  <c r="B252" i="17"/>
  <c r="A468" i="17"/>
  <c r="B468" i="17"/>
  <c r="B448" i="17"/>
  <c r="A448" i="17"/>
  <c r="A428" i="17"/>
  <c r="B428" i="17"/>
  <c r="B408" i="17"/>
  <c r="A408" i="17"/>
  <c r="B380" i="17"/>
  <c r="A380" i="17"/>
  <c r="B360" i="17"/>
  <c r="A360" i="17"/>
  <c r="A323" i="17"/>
  <c r="B323" i="17"/>
  <c r="A303" i="17"/>
  <c r="B303" i="17"/>
  <c r="A283" i="17"/>
  <c r="B283" i="17"/>
  <c r="A261" i="17"/>
  <c r="B261" i="17"/>
  <c r="A227" i="17"/>
  <c r="B227" i="17"/>
  <c r="B146" i="17"/>
  <c r="A146" i="17"/>
  <c r="B96" i="17"/>
  <c r="A96" i="17"/>
  <c r="B76" i="17"/>
  <c r="A76" i="17"/>
  <c r="B56" i="17"/>
  <c r="A56" i="17"/>
  <c r="B36" i="17"/>
  <c r="A36" i="17"/>
  <c r="B16" i="17"/>
  <c r="A16" i="17"/>
  <c r="A251" i="17"/>
  <c r="B251" i="17"/>
  <c r="A467" i="17"/>
  <c r="B467" i="17"/>
  <c r="B447" i="17"/>
  <c r="A447" i="17"/>
  <c r="B427" i="17"/>
  <c r="A427" i="17"/>
  <c r="B407" i="17"/>
  <c r="A407" i="17"/>
  <c r="B379" i="17"/>
  <c r="A379" i="17"/>
  <c r="A359" i="17"/>
  <c r="B359" i="17"/>
  <c r="A322" i="17"/>
  <c r="B322" i="17"/>
  <c r="B302" i="17"/>
  <c r="A302" i="17"/>
  <c r="A282" i="17"/>
  <c r="B282" i="17"/>
  <c r="B260" i="17"/>
  <c r="A260" i="17"/>
  <c r="B225" i="17"/>
  <c r="A225" i="17"/>
  <c r="B165" i="17"/>
  <c r="A165" i="17"/>
  <c r="B145" i="17"/>
  <c r="A145" i="17"/>
  <c r="B95" i="17"/>
  <c r="A95" i="17"/>
  <c r="B75" i="17"/>
  <c r="A75" i="17"/>
  <c r="B55" i="17"/>
  <c r="A55" i="17"/>
  <c r="B35" i="17"/>
  <c r="A35" i="17"/>
  <c r="B15" i="17"/>
  <c r="A15" i="17"/>
  <c r="B250" i="17"/>
  <c r="A250" i="17"/>
  <c r="B466" i="17"/>
  <c r="A466" i="17"/>
  <c r="B446" i="17"/>
  <c r="A446" i="17"/>
  <c r="B426" i="17"/>
  <c r="A426" i="17"/>
  <c r="B406" i="17"/>
  <c r="A406" i="17"/>
  <c r="A378" i="17"/>
  <c r="B378" i="17"/>
  <c r="A358" i="17"/>
  <c r="B358" i="17"/>
  <c r="A321" i="17"/>
  <c r="B321" i="17"/>
  <c r="A301" i="17"/>
  <c r="B301" i="17"/>
  <c r="A281" i="17"/>
  <c r="B281" i="17"/>
  <c r="A259" i="17"/>
  <c r="B259" i="17"/>
  <c r="A229" i="17"/>
  <c r="B229" i="17"/>
  <c r="A164" i="17"/>
  <c r="B164" i="17"/>
  <c r="B115" i="17"/>
  <c r="A115" i="17"/>
  <c r="A94" i="17"/>
  <c r="B94" i="17"/>
  <c r="A74" i="17"/>
  <c r="B74" i="17"/>
  <c r="A54" i="17"/>
  <c r="B54" i="17"/>
  <c r="A34" i="17"/>
  <c r="B34" i="17"/>
  <c r="B14" i="17"/>
  <c r="A14" i="17"/>
  <c r="A249" i="17"/>
  <c r="B249" i="17"/>
  <c r="B465" i="17"/>
  <c r="A465" i="17"/>
  <c r="B445" i="17"/>
  <c r="A445" i="17"/>
  <c r="B425" i="17"/>
  <c r="A425" i="17"/>
  <c r="B405" i="17"/>
  <c r="A405" i="17"/>
  <c r="B377" i="17"/>
  <c r="A377" i="17"/>
  <c r="A357" i="17"/>
  <c r="B357" i="17"/>
  <c r="B320" i="17"/>
  <c r="A320" i="17"/>
  <c r="B300" i="17"/>
  <c r="A300" i="17"/>
  <c r="B280" i="17"/>
  <c r="A280" i="17"/>
  <c r="B258" i="17"/>
  <c r="A258" i="17"/>
  <c r="A187" i="17"/>
  <c r="B187" i="17"/>
  <c r="A163" i="17"/>
  <c r="B163" i="17"/>
  <c r="A114" i="17"/>
  <c r="B114" i="17"/>
  <c r="A93" i="17"/>
  <c r="B93" i="17"/>
  <c r="A73" i="17"/>
  <c r="B73" i="17"/>
  <c r="A53" i="17"/>
  <c r="B53" i="17"/>
  <c r="A33" i="17"/>
  <c r="B33" i="17"/>
  <c r="A13" i="17"/>
  <c r="B13" i="17"/>
  <c r="A248" i="17"/>
  <c r="B248" i="17"/>
  <c r="A464" i="17"/>
  <c r="B464" i="17"/>
  <c r="B444" i="17"/>
  <c r="A444" i="17"/>
  <c r="A424" i="17"/>
  <c r="B424" i="17"/>
  <c r="A404" i="17"/>
  <c r="B404" i="17"/>
  <c r="B376" i="17"/>
  <c r="A376" i="17"/>
  <c r="B356" i="17"/>
  <c r="A356" i="17"/>
  <c r="A319" i="17"/>
  <c r="B319" i="17"/>
  <c r="A299" i="17"/>
  <c r="B299" i="17"/>
  <c r="A279" i="17"/>
  <c r="B279" i="17"/>
  <c r="A257" i="17"/>
  <c r="B257" i="17"/>
  <c r="B186" i="17"/>
  <c r="A186" i="17"/>
  <c r="A182" i="17"/>
  <c r="B182" i="17"/>
  <c r="A162" i="17"/>
  <c r="B162" i="17"/>
  <c r="A112" i="17"/>
  <c r="B112" i="17"/>
  <c r="A92" i="17"/>
  <c r="B92" i="17"/>
  <c r="A72" i="17"/>
  <c r="B72" i="17"/>
  <c r="A52" i="17"/>
  <c r="B52" i="17"/>
  <c r="A32" i="17"/>
  <c r="B32" i="17"/>
  <c r="A12" i="17"/>
  <c r="B12" i="17"/>
  <c r="A247" i="17"/>
  <c r="B247" i="17"/>
  <c r="A463" i="17"/>
  <c r="B463" i="17"/>
  <c r="A443" i="17"/>
  <c r="B443" i="17"/>
  <c r="A423" i="17"/>
  <c r="B423" i="17"/>
  <c r="A403" i="17"/>
  <c r="B403" i="17"/>
  <c r="B375" i="17"/>
  <c r="A375" i="17"/>
  <c r="A338" i="17"/>
  <c r="B338" i="17"/>
  <c r="B318" i="17"/>
  <c r="A318" i="17"/>
  <c r="A298" i="17"/>
  <c r="B298" i="17"/>
  <c r="B276" i="17"/>
  <c r="A276" i="17"/>
  <c r="B256" i="17"/>
  <c r="A256" i="17"/>
  <c r="B206" i="17"/>
  <c r="A206" i="17"/>
  <c r="A181" i="17"/>
  <c r="B181" i="17"/>
  <c r="A161" i="17"/>
  <c r="B161" i="17"/>
  <c r="A111" i="17"/>
  <c r="B111" i="17"/>
  <c r="A91" i="17"/>
  <c r="B91" i="17"/>
  <c r="A71" i="17"/>
  <c r="B71" i="17"/>
  <c r="A51" i="17"/>
  <c r="B51" i="17"/>
  <c r="A31" i="17"/>
  <c r="B31" i="17"/>
  <c r="A11" i="17"/>
  <c r="B11" i="17"/>
  <c r="A482" i="17"/>
  <c r="B482" i="17"/>
  <c r="A462" i="17"/>
  <c r="B462" i="17"/>
  <c r="A442" i="17"/>
  <c r="B442" i="17"/>
  <c r="A422" i="17"/>
  <c r="B422" i="17"/>
  <c r="A402" i="17"/>
  <c r="B402" i="17"/>
  <c r="A374" i="17"/>
  <c r="B374" i="17"/>
  <c r="A337" i="17"/>
  <c r="B337" i="17"/>
  <c r="A317" i="17"/>
  <c r="B317" i="17"/>
  <c r="A297" i="17"/>
  <c r="B297" i="17"/>
  <c r="B275" i="17"/>
  <c r="A275" i="17"/>
  <c r="B255" i="17"/>
  <c r="A255" i="17"/>
  <c r="A207" i="17"/>
  <c r="B207" i="17"/>
  <c r="A223" i="17"/>
  <c r="B223" i="17"/>
  <c r="B160" i="17"/>
  <c r="A160" i="17"/>
  <c r="B110" i="17"/>
  <c r="A110" i="17"/>
  <c r="B90" i="17"/>
  <c r="A90" i="17"/>
  <c r="B70" i="17"/>
  <c r="A70" i="17"/>
  <c r="B50" i="17"/>
  <c r="A50" i="17"/>
  <c r="B30" i="17"/>
  <c r="A30" i="17"/>
  <c r="B10" i="17"/>
  <c r="A10" i="17"/>
  <c r="A481" i="17"/>
  <c r="B481" i="17"/>
  <c r="A461" i="17"/>
  <c r="B461" i="17"/>
  <c r="A441" i="17"/>
  <c r="B441" i="17"/>
  <c r="A421" i="17"/>
  <c r="B421" i="17"/>
  <c r="A401" i="17"/>
  <c r="B401" i="17"/>
  <c r="A373" i="17"/>
  <c r="B373" i="17"/>
  <c r="B336" i="17"/>
  <c r="A336" i="17"/>
  <c r="B316" i="17"/>
  <c r="A316" i="17"/>
  <c r="B296" i="17"/>
  <c r="A296" i="17"/>
  <c r="A274" i="17"/>
  <c r="B274" i="17"/>
  <c r="A254" i="17"/>
  <c r="B254" i="17"/>
  <c r="A209" i="17"/>
  <c r="B209" i="17"/>
  <c r="A204" i="17"/>
  <c r="B204" i="17"/>
  <c r="A219" i="17"/>
  <c r="B219" i="17"/>
  <c r="A89" i="17"/>
  <c r="B89" i="17"/>
  <c r="A69" i="17"/>
  <c r="B69" i="17"/>
  <c r="A49" i="17"/>
  <c r="B49" i="17"/>
  <c r="A29" i="17"/>
  <c r="B29" i="17"/>
  <c r="A9" i="17"/>
  <c r="B9" i="17"/>
  <c r="B480" i="17"/>
  <c r="A480" i="17"/>
  <c r="B460" i="17"/>
  <c r="A460" i="17"/>
  <c r="B440" i="17"/>
  <c r="A440" i="17"/>
  <c r="B420" i="17"/>
  <c r="A420" i="17"/>
  <c r="B400" i="17"/>
  <c r="A400" i="17"/>
  <c r="A372" i="17"/>
  <c r="B372" i="17"/>
  <c r="B335" i="17"/>
  <c r="A335" i="17"/>
  <c r="B315" i="17"/>
  <c r="A315" i="17"/>
  <c r="B295" i="17"/>
  <c r="A295" i="17"/>
  <c r="A273" i="17"/>
  <c r="B273" i="17"/>
  <c r="B166" i="17"/>
  <c r="A166" i="17"/>
  <c r="A201" i="17"/>
  <c r="B201" i="17"/>
  <c r="B178" i="17"/>
  <c r="A178" i="17"/>
  <c r="A158" i="17"/>
  <c r="B158" i="17"/>
  <c r="A108" i="17"/>
  <c r="B108" i="17"/>
  <c r="A88" i="17"/>
  <c r="B88" i="17"/>
  <c r="A68" i="17"/>
  <c r="B68" i="17"/>
  <c r="A48" i="17"/>
  <c r="B48" i="17"/>
  <c r="A28" i="17"/>
  <c r="B28" i="17"/>
  <c r="A8" i="17"/>
  <c r="B8" i="17"/>
  <c r="A479" i="17"/>
  <c r="B479" i="17"/>
  <c r="B459" i="17"/>
  <c r="A459" i="17"/>
  <c r="A439" i="17"/>
  <c r="B439" i="17"/>
  <c r="A419" i="17"/>
  <c r="B419" i="17"/>
  <c r="A399" i="17"/>
  <c r="B399" i="17"/>
  <c r="B371" i="17"/>
  <c r="A371" i="17"/>
  <c r="A334" i="17"/>
  <c r="B334" i="17"/>
  <c r="A314" i="17"/>
  <c r="B314" i="17"/>
  <c r="A294" i="17"/>
  <c r="B294" i="17"/>
  <c r="A272" i="17"/>
  <c r="B272" i="17"/>
  <c r="A228" i="17"/>
  <c r="B228" i="17"/>
  <c r="B184" i="17"/>
  <c r="A184" i="17"/>
  <c r="B180" i="17"/>
  <c r="A180" i="17"/>
  <c r="A197" i="17"/>
  <c r="B197" i="17"/>
  <c r="A177" i="17"/>
  <c r="B177" i="17"/>
  <c r="A157" i="17"/>
  <c r="B157" i="17"/>
  <c r="A107" i="17"/>
  <c r="B107" i="17"/>
  <c r="A87" i="17"/>
  <c r="B87" i="17"/>
  <c r="A67" i="17"/>
  <c r="B67" i="17"/>
  <c r="A47" i="17"/>
  <c r="B47" i="17"/>
  <c r="A27" i="17"/>
  <c r="B27" i="17"/>
  <c r="A7" i="17"/>
  <c r="B7" i="17"/>
  <c r="A478" i="17"/>
  <c r="B478" i="17"/>
  <c r="A458" i="17"/>
  <c r="B458" i="17"/>
  <c r="A438" i="17"/>
  <c r="B438" i="17"/>
  <c r="A418" i="17"/>
  <c r="B418" i="17"/>
  <c r="A398" i="17"/>
  <c r="B398" i="17"/>
  <c r="B370" i="17"/>
  <c r="A370" i="17"/>
  <c r="A333" i="17"/>
  <c r="B333" i="17"/>
  <c r="A313" i="17"/>
  <c r="B313" i="17"/>
  <c r="A293" i="17"/>
  <c r="B293" i="17"/>
  <c r="A271" i="17"/>
  <c r="B271" i="17"/>
  <c r="A167" i="17"/>
  <c r="B167" i="17"/>
  <c r="A202" i="17"/>
  <c r="B202" i="17"/>
  <c r="A159" i="17"/>
  <c r="B159" i="17"/>
  <c r="B196" i="17"/>
  <c r="A196" i="17"/>
  <c r="B176" i="17"/>
  <c r="A176" i="17"/>
  <c r="B156" i="17"/>
  <c r="A156" i="17"/>
  <c r="B106" i="17"/>
  <c r="A106" i="17"/>
  <c r="B86" i="17"/>
  <c r="A86" i="17"/>
  <c r="B66" i="17"/>
  <c r="A66" i="17"/>
  <c r="B46" i="17"/>
  <c r="A46" i="17"/>
  <c r="B26" i="17"/>
  <c r="A26" i="17"/>
  <c r="B6" i="17"/>
  <c r="A6" i="17"/>
  <c r="B477" i="17"/>
  <c r="A477" i="17"/>
  <c r="A457" i="17"/>
  <c r="B457" i="17"/>
  <c r="A437" i="17"/>
  <c r="B437" i="17"/>
  <c r="A417" i="17"/>
  <c r="B417" i="17"/>
  <c r="B389" i="17"/>
  <c r="A389" i="17"/>
  <c r="A369" i="17"/>
  <c r="B369" i="17"/>
  <c r="A332" i="17"/>
  <c r="B332" i="17"/>
  <c r="A312" i="17"/>
  <c r="B312" i="17"/>
  <c r="A292" i="17"/>
  <c r="B292" i="17"/>
  <c r="B270" i="17"/>
  <c r="A270" i="17"/>
  <c r="B226" i="17"/>
  <c r="A226" i="17"/>
  <c r="A222" i="17"/>
  <c r="B222" i="17"/>
  <c r="A109" i="17"/>
  <c r="B109" i="17"/>
  <c r="B175" i="17"/>
  <c r="A175" i="17"/>
  <c r="B155" i="17"/>
  <c r="A155" i="17"/>
  <c r="B105" i="17"/>
  <c r="A105" i="17"/>
  <c r="B85" i="17"/>
  <c r="A85" i="17"/>
  <c r="B65" i="17"/>
  <c r="A65" i="17"/>
  <c r="B45" i="17"/>
  <c r="A45" i="17"/>
  <c r="B25" i="17"/>
  <c r="A25" i="17"/>
  <c r="B476" i="17"/>
  <c r="A476" i="17"/>
  <c r="B456" i="17"/>
  <c r="A456" i="17"/>
  <c r="B436" i="17"/>
  <c r="A436" i="17"/>
  <c r="B416" i="17"/>
  <c r="A416" i="17"/>
  <c r="A388" i="17"/>
  <c r="B388" i="17"/>
  <c r="A368" i="17"/>
  <c r="B368" i="17"/>
  <c r="B331" i="17"/>
  <c r="A331" i="17"/>
  <c r="A311" i="17"/>
  <c r="B311" i="17"/>
  <c r="B291" i="17"/>
  <c r="A291" i="17"/>
  <c r="A269" i="17"/>
  <c r="B269" i="17"/>
  <c r="A208" i="17"/>
  <c r="B208" i="17"/>
  <c r="A183" i="17"/>
  <c r="B183" i="17"/>
  <c r="A179" i="17"/>
  <c r="B179" i="17"/>
  <c r="B215" i="17"/>
  <c r="A215" i="17"/>
  <c r="A194" i="17"/>
  <c r="B194" i="17"/>
  <c r="A174" i="17"/>
  <c r="B174" i="17"/>
  <c r="A154" i="17"/>
  <c r="B154" i="17"/>
  <c r="A104" i="17"/>
  <c r="B104" i="17"/>
  <c r="A84" i="17"/>
  <c r="B84" i="17"/>
  <c r="B64" i="17"/>
  <c r="A64" i="17"/>
  <c r="B44" i="17"/>
  <c r="A44" i="17"/>
  <c r="B24" i="17"/>
  <c r="A24" i="17"/>
  <c r="B236" i="17"/>
  <c r="A236" i="17"/>
  <c r="B475" i="17"/>
  <c r="A475" i="17"/>
  <c r="B455" i="17"/>
  <c r="A455" i="17"/>
  <c r="B435" i="17"/>
  <c r="A435" i="17"/>
  <c r="B415" i="17"/>
  <c r="A415" i="17"/>
  <c r="A387" i="17"/>
  <c r="B387" i="17"/>
  <c r="A367" i="17"/>
  <c r="B367" i="17"/>
  <c r="B330" i="17"/>
  <c r="A330" i="17"/>
  <c r="B310" i="17"/>
  <c r="A310" i="17"/>
  <c r="B290" i="17"/>
  <c r="A290" i="17"/>
  <c r="A268" i="17"/>
  <c r="B268" i="17"/>
  <c r="A188" i="17"/>
  <c r="B188" i="17"/>
  <c r="A203" i="17"/>
  <c r="B203" i="17"/>
  <c r="A199" i="17"/>
  <c r="B199" i="17"/>
  <c r="B216" i="17"/>
  <c r="A216" i="17"/>
  <c r="A213" i="17"/>
  <c r="B213" i="17"/>
  <c r="A173" i="17"/>
  <c r="B173" i="17"/>
  <c r="A153" i="17"/>
  <c r="B153" i="17"/>
  <c r="A103" i="17"/>
  <c r="B103" i="17"/>
  <c r="A83" i="17"/>
  <c r="B83" i="17"/>
  <c r="A63" i="17"/>
  <c r="B63" i="17"/>
  <c r="A43" i="17"/>
  <c r="B43" i="17"/>
  <c r="A23" i="17"/>
  <c r="B23" i="17"/>
  <c r="B235" i="17"/>
  <c r="A235" i="17"/>
  <c r="A474" i="17"/>
  <c r="B474" i="17"/>
  <c r="B454" i="17"/>
  <c r="A454" i="17"/>
  <c r="A434" i="17"/>
  <c r="B434" i="17"/>
  <c r="B414" i="17"/>
  <c r="A414" i="17"/>
  <c r="B386" i="17"/>
  <c r="A386" i="17"/>
  <c r="B366" i="17"/>
  <c r="A366" i="17"/>
  <c r="A329" i="17"/>
  <c r="B329" i="17"/>
  <c r="A309" i="17"/>
  <c r="B309" i="17"/>
  <c r="A289" i="17"/>
  <c r="B289" i="17"/>
  <c r="A267" i="17"/>
  <c r="B267" i="17"/>
  <c r="B185" i="17"/>
  <c r="A185" i="17"/>
  <c r="B220" i="17"/>
  <c r="A220" i="17"/>
  <c r="B218" i="17"/>
  <c r="A218" i="17"/>
  <c r="B195" i="17"/>
  <c r="A195" i="17"/>
  <c r="A193" i="17"/>
  <c r="B193" i="17"/>
  <c r="A212" i="17"/>
  <c r="B212" i="17"/>
  <c r="A192" i="17"/>
  <c r="B192" i="17"/>
  <c r="A172" i="17"/>
  <c r="B172" i="17"/>
  <c r="A152" i="17"/>
  <c r="B152" i="17"/>
  <c r="A102" i="17"/>
  <c r="B102" i="17"/>
  <c r="A82" i="17"/>
  <c r="B82" i="17"/>
  <c r="A62" i="17"/>
  <c r="B62" i="17"/>
  <c r="A42" i="17"/>
  <c r="B42" i="17"/>
  <c r="A22" i="17"/>
  <c r="B22" i="17"/>
  <c r="A234" i="17"/>
  <c r="B234" i="17"/>
  <c r="A473" i="17"/>
  <c r="B473" i="17"/>
  <c r="A453" i="17"/>
  <c r="B453" i="17"/>
  <c r="A433" i="17"/>
  <c r="B433" i="17"/>
  <c r="A413" i="17"/>
  <c r="B413" i="17"/>
  <c r="B385" i="17"/>
  <c r="A385" i="17"/>
  <c r="B365" i="17"/>
  <c r="A365" i="17"/>
  <c r="A328" i="17"/>
  <c r="B328" i="17"/>
  <c r="A308" i="17"/>
  <c r="B308" i="17"/>
  <c r="B288" i="17"/>
  <c r="A288" i="17"/>
  <c r="B266" i="17"/>
  <c r="A266" i="17"/>
  <c r="B205" i="17"/>
  <c r="A205" i="17"/>
  <c r="A221" i="17"/>
  <c r="B221" i="17"/>
  <c r="A198" i="17"/>
  <c r="B198" i="17"/>
  <c r="A214" i="17"/>
  <c r="B214" i="17"/>
  <c r="B211" i="17"/>
  <c r="A211" i="17"/>
  <c r="A191" i="17"/>
  <c r="B191" i="17"/>
  <c r="A171" i="17"/>
  <c r="B171" i="17"/>
  <c r="A151" i="17"/>
  <c r="B151" i="17"/>
  <c r="A101" i="17"/>
  <c r="B101" i="17"/>
  <c r="A81" i="17"/>
  <c r="B81" i="17"/>
  <c r="A61" i="17"/>
  <c r="B61" i="17"/>
  <c r="A41" i="17"/>
  <c r="B41" i="17"/>
  <c r="A21" i="17"/>
  <c r="B21" i="17"/>
  <c r="A233" i="17"/>
  <c r="B233" i="17"/>
  <c r="B472" i="17"/>
  <c r="A472" i="17"/>
  <c r="A452" i="17"/>
  <c r="B452" i="17"/>
  <c r="B432" i="17"/>
  <c r="A432" i="17"/>
  <c r="A412" i="17"/>
  <c r="B412" i="17"/>
  <c r="A384" i="17"/>
  <c r="B384" i="17"/>
  <c r="A364" i="17"/>
  <c r="B364" i="17"/>
  <c r="A327" i="17"/>
  <c r="B327" i="17"/>
  <c r="A307" i="17"/>
  <c r="B307" i="17"/>
  <c r="A287" i="17"/>
  <c r="B287" i="17"/>
  <c r="B265" i="17"/>
  <c r="A265" i="17"/>
  <c r="B224" i="17"/>
  <c r="A224" i="17"/>
  <c r="B200" i="17"/>
  <c r="A200" i="17"/>
  <c r="A217" i="17"/>
  <c r="B217" i="17"/>
  <c r="B230" i="17"/>
  <c r="A230" i="17"/>
  <c r="B210" i="17"/>
  <c r="A210" i="17"/>
  <c r="B190" i="17"/>
  <c r="A190" i="17"/>
  <c r="B170" i="17"/>
  <c r="A170" i="17"/>
  <c r="B150" i="17"/>
  <c r="A150" i="17"/>
  <c r="B100" i="17"/>
  <c r="A100" i="17"/>
  <c r="B80" i="17"/>
  <c r="A80" i="17"/>
  <c r="B60" i="17"/>
  <c r="A60" i="17"/>
  <c r="B40" i="17"/>
  <c r="A40" i="17"/>
  <c r="B20" i="17"/>
  <c r="A20" i="17"/>
  <c r="A232" i="17"/>
  <c r="B232" i="17"/>
  <c r="A471" i="17"/>
  <c r="B471" i="17"/>
  <c r="A451" i="17"/>
  <c r="B451" i="17"/>
  <c r="A431" i="17"/>
  <c r="B431" i="17"/>
  <c r="A411" i="17"/>
  <c r="B411" i="17"/>
  <c r="A383" i="17"/>
  <c r="B383" i="17"/>
  <c r="A363" i="17"/>
  <c r="B363" i="17"/>
  <c r="B326" i="17"/>
  <c r="A326" i="17"/>
  <c r="B306" i="17"/>
  <c r="A306" i="17"/>
  <c r="B286" i="17"/>
  <c r="A286" i="17"/>
  <c r="B264" i="17"/>
  <c r="A264" i="17"/>
  <c r="X95" i="4"/>
  <c r="X19" i="4"/>
  <c r="X337" i="4"/>
  <c r="X319" i="4"/>
  <c r="X318" i="4"/>
  <c r="X358" i="4"/>
  <c r="X465" i="4"/>
  <c r="X260" i="4"/>
  <c r="X110" i="4"/>
  <c r="X317" i="4"/>
  <c r="X342" i="4"/>
  <c r="X266" i="4"/>
  <c r="X482" i="4"/>
  <c r="X193" i="4"/>
  <c r="X609" i="4"/>
  <c r="Y5" i="17"/>
  <c r="Q3" i="17"/>
  <c r="N2" i="17"/>
  <c r="O2" i="17"/>
  <c r="Q2" i="17"/>
  <c r="M2" i="17"/>
  <c r="O3" i="17"/>
  <c r="N3" i="17"/>
  <c r="X683" i="4" l="1"/>
  <c r="X682" i="4"/>
  <c r="X176" i="4"/>
  <c r="X181" i="4"/>
  <c r="X170" i="4"/>
  <c r="X184" i="4"/>
  <c r="X304" i="4"/>
  <c r="X185" i="4"/>
  <c r="X301" i="4"/>
  <c r="X530" i="4"/>
  <c r="X529" i="4"/>
  <c r="X188" i="4"/>
  <c r="X306" i="4"/>
  <c r="X182" i="4"/>
  <c r="X679" i="4"/>
  <c r="X686" i="4"/>
  <c r="X312" i="4"/>
  <c r="X172" i="4"/>
  <c r="X459" i="4"/>
  <c r="X456" i="4"/>
  <c r="X186" i="4"/>
  <c r="X458" i="4"/>
  <c r="X678" i="4"/>
  <c r="X351" i="4"/>
  <c r="X675" i="4"/>
  <c r="X681" i="4"/>
  <c r="X308" i="4"/>
  <c r="X173" i="4"/>
  <c r="X313" i="4"/>
  <c r="X189" i="4"/>
  <c r="X460" i="4"/>
  <c r="X684" i="4"/>
  <c r="X305" i="4"/>
  <c r="X303" i="4"/>
  <c r="X175" i="4"/>
  <c r="X531" i="4"/>
  <c r="X455" i="4"/>
  <c r="X307" i="4"/>
  <c r="X677" i="4"/>
  <c r="X685" i="4"/>
  <c r="X311" i="4"/>
  <c r="X533" i="4"/>
  <c r="X171" i="4"/>
  <c r="X169" i="4"/>
  <c r="X310" i="4"/>
  <c r="X457" i="4"/>
  <c r="X302" i="4"/>
  <c r="X187" i="4"/>
  <c r="X532" i="4"/>
  <c r="X534" i="4"/>
  <c r="X676" i="4"/>
  <c r="X680" i="4"/>
  <c r="X300" i="4"/>
  <c r="X183" i="4"/>
  <c r="X309" i="4"/>
  <c r="X180" i="4"/>
  <c r="X174" i="4"/>
  <c r="X525" i="4"/>
  <c r="X450" i="4"/>
  <c r="X452" i="4"/>
  <c r="X454" i="4"/>
  <c r="X451" i="4"/>
  <c r="X670" i="4"/>
  <c r="X672" i="4"/>
  <c r="X528" i="4"/>
  <c r="X168" i="4"/>
  <c r="X297" i="4"/>
  <c r="X671" i="4"/>
  <c r="X522" i="4"/>
  <c r="X521" i="4"/>
  <c r="X165" i="4"/>
  <c r="X449" i="4"/>
  <c r="X524" i="4"/>
  <c r="X527" i="4"/>
  <c r="X453" i="4"/>
  <c r="X166" i="4"/>
  <c r="X673" i="4"/>
  <c r="X167" i="4"/>
  <c r="X526" i="4"/>
  <c r="X523" i="4"/>
  <c r="X674" i="4"/>
  <c r="X298" i="4"/>
  <c r="X299" i="4"/>
  <c r="X663" i="4"/>
  <c r="X669" i="4"/>
  <c r="X515" i="4"/>
  <c r="X162" i="4"/>
  <c r="X518" i="4"/>
  <c r="X447" i="4"/>
  <c r="X296" i="4"/>
  <c r="X448" i="4"/>
  <c r="X668" i="4"/>
  <c r="X163" i="4"/>
  <c r="X514" i="4"/>
  <c r="X513" i="4"/>
  <c r="X662" i="4"/>
  <c r="X161" i="4"/>
  <c r="X443" i="4"/>
  <c r="X666" i="4"/>
  <c r="X445" i="4"/>
  <c r="X446" i="4"/>
  <c r="X520" i="4"/>
  <c r="X664" i="4"/>
  <c r="X444" i="4"/>
  <c r="X517" i="4"/>
  <c r="X158" i="4"/>
  <c r="X516" i="4"/>
  <c r="X155" i="4"/>
  <c r="X160" i="4"/>
  <c r="X159" i="4"/>
  <c r="X519" i="4"/>
  <c r="X665" i="4"/>
  <c r="X164" i="4"/>
  <c r="X667" i="4"/>
  <c r="X659" i="4"/>
  <c r="X657" i="4"/>
  <c r="X661" i="4"/>
  <c r="X660" i="4"/>
  <c r="X654" i="4"/>
  <c r="X658" i="4"/>
  <c r="X651" i="4"/>
  <c r="X350" i="4"/>
  <c r="X652" i="4"/>
  <c r="X655" i="4"/>
  <c r="X649" i="4"/>
  <c r="X656" i="4"/>
  <c r="X650" i="4"/>
  <c r="X653" i="4"/>
  <c r="X512" i="4"/>
  <c r="X511" i="4"/>
  <c r="X642" i="4"/>
  <c r="X441" i="4"/>
  <c r="X647" i="4"/>
  <c r="X637" i="4"/>
  <c r="X510" i="4"/>
  <c r="X439" i="4"/>
  <c r="X641" i="4"/>
  <c r="X639" i="4"/>
  <c r="X648" i="4"/>
  <c r="X644" i="4"/>
  <c r="X638" i="4"/>
  <c r="X640" i="4"/>
  <c r="X440" i="4"/>
  <c r="X442" i="4"/>
  <c r="X349" i="4"/>
  <c r="X153" i="4"/>
  <c r="X437" i="4"/>
  <c r="X348" i="4"/>
  <c r="X157" i="4"/>
  <c r="X645" i="4"/>
  <c r="X156" i="4"/>
  <c r="X438" i="4"/>
  <c r="X646" i="4"/>
  <c r="X643" i="4"/>
  <c r="X436" i="4"/>
  <c r="X435" i="4"/>
  <c r="X434" i="4"/>
  <c r="X295" i="4"/>
  <c r="X151" i="4"/>
  <c r="X150" i="4"/>
  <c r="X148" i="4"/>
  <c r="X149" i="4"/>
  <c r="X152" i="4"/>
  <c r="X147" i="4"/>
  <c r="X636" i="4"/>
  <c r="X634" i="4"/>
  <c r="X635" i="4"/>
  <c r="X633" i="4"/>
  <c r="X508" i="4"/>
  <c r="X290" i="4"/>
  <c r="X294" i="4"/>
  <c r="X145" i="4"/>
  <c r="X506" i="4"/>
  <c r="X507" i="4"/>
  <c r="X146" i="4"/>
  <c r="X509" i="4"/>
  <c r="X505" i="4"/>
  <c r="X632" i="4"/>
  <c r="X430" i="4"/>
  <c r="X432" i="4"/>
  <c r="X433" i="4"/>
  <c r="X431" i="4"/>
  <c r="X144" i="4"/>
  <c r="X143" i="4"/>
  <c r="X142" i="4"/>
  <c r="X631" i="4"/>
  <c r="X629" i="4"/>
  <c r="X630" i="4"/>
  <c r="X628" i="4"/>
  <c r="X141" i="4"/>
  <c r="X140" i="4"/>
  <c r="X627" i="4"/>
  <c r="X138" i="4"/>
  <c r="X139" i="4"/>
  <c r="X626" i="4"/>
  <c r="X292" i="4"/>
  <c r="B5" i="17"/>
  <c r="A5" i="17"/>
  <c r="X625" i="4"/>
  <c r="X499" i="4"/>
  <c r="X503" i="4"/>
  <c r="X624" i="4"/>
  <c r="X497" i="4"/>
  <c r="X427" i="4"/>
  <c r="X426" i="4"/>
  <c r="X623" i="4"/>
  <c r="X498" i="4"/>
  <c r="X502" i="4"/>
  <c r="X421" i="4"/>
  <c r="X423" i="4"/>
  <c r="X429" i="4"/>
  <c r="X501" i="4"/>
  <c r="X428" i="4"/>
  <c r="X500" i="4"/>
  <c r="X622" i="4"/>
  <c r="X417" i="4"/>
  <c r="X136" i="4"/>
  <c r="X119" i="4"/>
  <c r="X135" i="4"/>
  <c r="X414" i="4"/>
  <c r="X124" i="4"/>
  <c r="X129" i="4"/>
  <c r="X286" i="4"/>
  <c r="X128" i="4"/>
  <c r="X120" i="4"/>
  <c r="X132" i="4"/>
  <c r="X121" i="4"/>
  <c r="X347" i="4"/>
  <c r="X285" i="4"/>
  <c r="X131" i="4"/>
  <c r="X123" i="4"/>
  <c r="X137" i="4"/>
  <c r="X416" i="4"/>
  <c r="X284" i="4"/>
  <c r="X126" i="4"/>
  <c r="X118" i="4"/>
  <c r="X130" i="4"/>
  <c r="X418" i="4"/>
  <c r="X287" i="4"/>
  <c r="X122" i="4"/>
  <c r="X288" i="4"/>
  <c r="X134" i="4"/>
  <c r="X133" i="4"/>
  <c r="X291" i="4"/>
  <c r="X117" i="4"/>
  <c r="X420" i="4"/>
  <c r="X419" i="4"/>
  <c r="X127" i="4"/>
  <c r="X415" i="4"/>
  <c r="X111" i="4"/>
  <c r="X115" i="4"/>
  <c r="X114" i="4"/>
  <c r="X116" i="4"/>
  <c r="X538" i="4"/>
  <c r="X554" i="4"/>
  <c r="X570" i="4"/>
  <c r="X586" i="4"/>
  <c r="X602" i="4"/>
  <c r="X618" i="4"/>
  <c r="X475" i="4"/>
  <c r="X491" i="4"/>
  <c r="X364" i="4"/>
  <c r="X380" i="4"/>
  <c r="X396" i="4"/>
  <c r="X412" i="4"/>
  <c r="X331" i="4"/>
  <c r="X208" i="4"/>
  <c r="X224" i="4"/>
  <c r="X240" i="4"/>
  <c r="X256" i="4"/>
  <c r="X272" i="4"/>
  <c r="X7" i="4"/>
  <c r="X23" i="4"/>
  <c r="X39" i="4"/>
  <c r="X55" i="4"/>
  <c r="X71" i="4"/>
  <c r="X87" i="4"/>
  <c r="X103" i="4"/>
  <c r="X539" i="4"/>
  <c r="X555" i="4"/>
  <c r="X571" i="4"/>
  <c r="X587" i="4"/>
  <c r="X603" i="4"/>
  <c r="X619" i="4"/>
  <c r="X476" i="4"/>
  <c r="X492" i="4"/>
  <c r="X365" i="4"/>
  <c r="X381" i="4"/>
  <c r="X397" i="4"/>
  <c r="X413" i="4"/>
  <c r="X332" i="4"/>
  <c r="X209" i="4"/>
  <c r="X225" i="4"/>
  <c r="X241" i="4"/>
  <c r="X257" i="4"/>
  <c r="X273" i="4"/>
  <c r="X8" i="4"/>
  <c r="X24" i="4"/>
  <c r="X40" i="4"/>
  <c r="X56" i="4"/>
  <c r="X72" i="4"/>
  <c r="X88" i="4"/>
  <c r="X104" i="4"/>
  <c r="X540" i="4"/>
  <c r="X556" i="4"/>
  <c r="X572" i="4"/>
  <c r="X588" i="4"/>
  <c r="X604" i="4"/>
  <c r="X620" i="4"/>
  <c r="X477" i="4"/>
  <c r="X493" i="4"/>
  <c r="X366" i="4"/>
  <c r="X382" i="4"/>
  <c r="X398" i="4"/>
  <c r="X354" i="4"/>
  <c r="X333" i="4"/>
  <c r="X194" i="4"/>
  <c r="X210" i="4"/>
  <c r="X226" i="4"/>
  <c r="X242" i="4"/>
  <c r="X258" i="4"/>
  <c r="X274" i="4"/>
  <c r="X9" i="4"/>
  <c r="X25" i="4"/>
  <c r="X41" i="4"/>
  <c r="X57" i="4"/>
  <c r="X73" i="4"/>
  <c r="X89" i="4"/>
  <c r="X105" i="4"/>
  <c r="X541" i="4"/>
  <c r="X557" i="4"/>
  <c r="X573" i="4"/>
  <c r="X589" i="4"/>
  <c r="X605" i="4"/>
  <c r="X621" i="4"/>
  <c r="X478" i="4"/>
  <c r="X494" i="4"/>
  <c r="X367" i="4"/>
  <c r="X383" i="4"/>
  <c r="X399" i="4"/>
  <c r="X334" i="4"/>
  <c r="X195" i="4"/>
  <c r="X211" i="4"/>
  <c r="X227" i="4"/>
  <c r="X243" i="4"/>
  <c r="X259" i="4"/>
  <c r="X275" i="4"/>
  <c r="X10" i="4"/>
  <c r="X26" i="4"/>
  <c r="X42" i="4"/>
  <c r="X58" i="4"/>
  <c r="X74" i="4"/>
  <c r="X90" i="4"/>
  <c r="X106" i="4"/>
  <c r="X495" i="4"/>
  <c r="X196" i="4"/>
  <c r="X244" i="4"/>
  <c r="X276" i="4"/>
  <c r="X27" i="4"/>
  <c r="X59" i="4"/>
  <c r="X91" i="4"/>
  <c r="X86" i="4"/>
  <c r="X542" i="4"/>
  <c r="X558" i="4"/>
  <c r="X574" i="4"/>
  <c r="X590" i="4"/>
  <c r="X606" i="4"/>
  <c r="X537" i="4"/>
  <c r="X479" i="4"/>
  <c r="X368" i="4"/>
  <c r="X384" i="4"/>
  <c r="X400" i="4"/>
  <c r="X335" i="4"/>
  <c r="X212" i="4"/>
  <c r="X228" i="4"/>
  <c r="X11" i="4"/>
  <c r="X43" i="4"/>
  <c r="X75" i="4"/>
  <c r="X107" i="4"/>
  <c r="X271" i="4"/>
  <c r="X543" i="4"/>
  <c r="X559" i="4"/>
  <c r="X575" i="4"/>
  <c r="X591" i="4"/>
  <c r="X607" i="4"/>
  <c r="X464" i="4"/>
  <c r="X480" i="4"/>
  <c r="X496" i="4"/>
  <c r="X369" i="4"/>
  <c r="X385" i="4"/>
  <c r="X401" i="4"/>
  <c r="X320" i="4"/>
  <c r="X336" i="4"/>
  <c r="X197" i="4"/>
  <c r="X213" i="4"/>
  <c r="X229" i="4"/>
  <c r="X245" i="4"/>
  <c r="X261" i="4"/>
  <c r="X277" i="4"/>
  <c r="X12" i="4"/>
  <c r="X28" i="4"/>
  <c r="X44" i="4"/>
  <c r="X60" i="4"/>
  <c r="X76" i="4"/>
  <c r="X92" i="4"/>
  <c r="X108" i="4"/>
  <c r="X32" i="4"/>
  <c r="X282" i="4"/>
  <c r="X3" i="4"/>
  <c r="X544" i="4"/>
  <c r="X560" i="4"/>
  <c r="X576" i="4"/>
  <c r="X592" i="4"/>
  <c r="X608" i="4"/>
  <c r="X481" i="4"/>
  <c r="X463" i="4"/>
  <c r="X370" i="4"/>
  <c r="X386" i="4"/>
  <c r="X402" i="4"/>
  <c r="X321" i="4"/>
  <c r="X198" i="4"/>
  <c r="X214" i="4"/>
  <c r="X230" i="4"/>
  <c r="X246" i="4"/>
  <c r="X262" i="4"/>
  <c r="X278" i="4"/>
  <c r="X13" i="4"/>
  <c r="X29" i="4"/>
  <c r="X45" i="4"/>
  <c r="X61" i="4"/>
  <c r="X77" i="4"/>
  <c r="X93" i="4"/>
  <c r="X109" i="4"/>
  <c r="X48" i="4"/>
  <c r="X49" i="4"/>
  <c r="X255" i="4"/>
  <c r="X545" i="4"/>
  <c r="X561" i="4"/>
  <c r="X577" i="4"/>
  <c r="X593" i="4"/>
  <c r="X466" i="4"/>
  <c r="X355" i="4"/>
  <c r="X371" i="4"/>
  <c r="X387" i="4"/>
  <c r="X403" i="4"/>
  <c r="X322" i="4"/>
  <c r="X338" i="4"/>
  <c r="X199" i="4"/>
  <c r="X215" i="4"/>
  <c r="X231" i="4"/>
  <c r="X247" i="4"/>
  <c r="X263" i="4"/>
  <c r="X279" i="4"/>
  <c r="X14" i="4"/>
  <c r="X30" i="4"/>
  <c r="X46" i="4"/>
  <c r="X62" i="4"/>
  <c r="X78" i="4"/>
  <c r="X94" i="4"/>
  <c r="X64" i="4"/>
  <c r="X22" i="4"/>
  <c r="X546" i="4"/>
  <c r="X562" i="4"/>
  <c r="X578" i="4"/>
  <c r="X594" i="4"/>
  <c r="X610" i="4"/>
  <c r="X467" i="4"/>
  <c r="X483" i="4"/>
  <c r="X356" i="4"/>
  <c r="X372" i="4"/>
  <c r="X388" i="4"/>
  <c r="X404" i="4"/>
  <c r="X323" i="4"/>
  <c r="X339" i="4"/>
  <c r="X200" i="4"/>
  <c r="X216" i="4"/>
  <c r="X232" i="4"/>
  <c r="X248" i="4"/>
  <c r="X264" i="4"/>
  <c r="X280" i="4"/>
  <c r="X15" i="4"/>
  <c r="X31" i="4"/>
  <c r="X47" i="4"/>
  <c r="X63" i="4"/>
  <c r="X79" i="4"/>
  <c r="X112" i="4"/>
  <c r="X80" i="4"/>
  <c r="X65" i="4"/>
  <c r="X6" i="4"/>
  <c r="X547" i="4"/>
  <c r="X563" i="4"/>
  <c r="X579" i="4"/>
  <c r="X595" i="4"/>
  <c r="X611" i="4"/>
  <c r="X468" i="4"/>
  <c r="X484" i="4"/>
  <c r="X357" i="4"/>
  <c r="X373" i="4"/>
  <c r="X389" i="4"/>
  <c r="X405" i="4"/>
  <c r="X324" i="4"/>
  <c r="X340" i="4"/>
  <c r="X201" i="4"/>
  <c r="X217" i="4"/>
  <c r="X233" i="4"/>
  <c r="X249" i="4"/>
  <c r="X265" i="4"/>
  <c r="X281" i="4"/>
  <c r="X16" i="4"/>
  <c r="X96" i="4"/>
  <c r="X113" i="4"/>
  <c r="X17" i="4"/>
  <c r="X223" i="4"/>
  <c r="X548" i="4"/>
  <c r="X564" i="4"/>
  <c r="X580" i="4"/>
  <c r="X596" i="4"/>
  <c r="X612" i="4"/>
  <c r="X469" i="4"/>
  <c r="X485" i="4"/>
  <c r="X374" i="4"/>
  <c r="X390" i="4"/>
  <c r="X406" i="4"/>
  <c r="X325" i="4"/>
  <c r="X341" i="4"/>
  <c r="X202" i="4"/>
  <c r="X218" i="4"/>
  <c r="X234" i="4"/>
  <c r="X250" i="4"/>
  <c r="X33" i="4"/>
  <c r="X81" i="4"/>
  <c r="X97" i="4"/>
  <c r="X102" i="4"/>
  <c r="X549" i="4"/>
  <c r="X565" i="4"/>
  <c r="X581" i="4"/>
  <c r="X597" i="4"/>
  <c r="X613" i="4"/>
  <c r="X470" i="4"/>
  <c r="X486" i="4"/>
  <c r="X359" i="4"/>
  <c r="X375" i="4"/>
  <c r="X391" i="4"/>
  <c r="X407" i="4"/>
  <c r="X326" i="4"/>
  <c r="X203" i="4"/>
  <c r="X219" i="4"/>
  <c r="X235" i="4"/>
  <c r="X251" i="4"/>
  <c r="X267" i="4"/>
  <c r="X283" i="4"/>
  <c r="X18" i="4"/>
  <c r="X34" i="4"/>
  <c r="X50" i="4"/>
  <c r="X66" i="4"/>
  <c r="X82" i="4"/>
  <c r="X98" i="4"/>
  <c r="X550" i="4"/>
  <c r="X566" i="4"/>
  <c r="X582" i="4"/>
  <c r="X598" i="4"/>
  <c r="X614" i="4"/>
  <c r="X471" i="4"/>
  <c r="X487" i="4"/>
  <c r="X360" i="4"/>
  <c r="X376" i="4"/>
  <c r="X392" i="4"/>
  <c r="X408" i="4"/>
  <c r="X327" i="4"/>
  <c r="X343" i="4"/>
  <c r="X204" i="4"/>
  <c r="X220" i="4"/>
  <c r="X236" i="4"/>
  <c r="X252" i="4"/>
  <c r="X268" i="4"/>
  <c r="X192" i="4"/>
  <c r="X35" i="4"/>
  <c r="X51" i="4"/>
  <c r="X67" i="4"/>
  <c r="X83" i="4"/>
  <c r="X99" i="4"/>
  <c r="X409" i="4"/>
  <c r="X4" i="4"/>
  <c r="X36" i="4"/>
  <c r="X68" i="4"/>
  <c r="X100" i="4"/>
  <c r="X601" i="4"/>
  <c r="X207" i="4"/>
  <c r="X70" i="4"/>
  <c r="X551" i="4"/>
  <c r="X567" i="4"/>
  <c r="X583" i="4"/>
  <c r="X599" i="4"/>
  <c r="X615" i="4"/>
  <c r="X472" i="4"/>
  <c r="X488" i="4"/>
  <c r="X361" i="4"/>
  <c r="X377" i="4"/>
  <c r="X393" i="4"/>
  <c r="X328" i="4"/>
  <c r="X344" i="4"/>
  <c r="X205" i="4"/>
  <c r="X221" i="4"/>
  <c r="X237" i="4"/>
  <c r="X253" i="4"/>
  <c r="X269" i="4"/>
  <c r="X20" i="4"/>
  <c r="X52" i="4"/>
  <c r="X84" i="4"/>
  <c r="X474" i="4"/>
  <c r="X38" i="4"/>
  <c r="X552" i="4"/>
  <c r="X568" i="4"/>
  <c r="X584" i="4"/>
  <c r="X600" i="4"/>
  <c r="X616" i="4"/>
  <c r="X473" i="4"/>
  <c r="X489" i="4"/>
  <c r="X362" i="4"/>
  <c r="X378" i="4"/>
  <c r="X394" i="4"/>
  <c r="X410" i="4"/>
  <c r="X329" i="4"/>
  <c r="X345" i="4"/>
  <c r="X206" i="4"/>
  <c r="X222" i="4"/>
  <c r="X238" i="4"/>
  <c r="X254" i="4"/>
  <c r="X270" i="4"/>
  <c r="X5" i="4"/>
  <c r="X21" i="4"/>
  <c r="X37" i="4"/>
  <c r="X53" i="4"/>
  <c r="X69" i="4"/>
  <c r="X85" i="4"/>
  <c r="X101" i="4"/>
  <c r="X553" i="4"/>
  <c r="X569" i="4"/>
  <c r="X585" i="4"/>
  <c r="X617" i="4"/>
  <c r="X490" i="4"/>
  <c r="X363" i="4"/>
  <c r="X379" i="4"/>
  <c r="X395" i="4"/>
  <c r="X411" i="4"/>
  <c r="X330" i="4"/>
  <c r="X346" i="4"/>
  <c r="X239" i="4"/>
  <c r="X54" i="4"/>
  <c r="A3" i="17"/>
  <c r="F5"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tc={D873840E-BE95-4A91-B609-1CE2DF8F855F}</author>
    <author>tc={3DAC1DEC-5765-4362-8276-3A146ECC4B9F}</author>
    <author>tc={051C8678-5857-447F-A187-1EB44BCFDA93}</author>
    <author>tc={107F7ED3-6A99-41BA-9F2B-901A11D61C17}</author>
    <author>tc={3C523CA3-68E9-4E60-B7D4-FE769C74291E}</author>
    <author>tc={3893933E-7673-401D-855B-E1F70121C073}</author>
    <author>tc={9EF34B6A-870B-4B87-81CB-FEFFB790CC3F}</author>
    <author>tc={55997FD2-CAD2-4852-8B7E-7914F5AA61F0}</author>
    <author>tc={4FA20CEE-6F8B-4B8B-AAD3-F4832986F648}</author>
    <author>tc={59B9A23A-65E2-445E-8A66-90E464328F18}</author>
    <author>tc={4EB39D72-ED2A-4376-A265-F72BC5DAECF0}</author>
    <author>tc={F341C2FE-3AC9-4526-8AD3-35D511FBF50A}</author>
    <author>tc={2BC6E39C-745E-4C30-9AA5-FA0470C31EDA}</author>
    <author>tc={D787D1A1-074A-48CF-A8DE-53B0C8CA053A}</author>
    <author>tc={52A11BA0-F322-4014-9F8E-1801D80CD4F0}</author>
    <author>tc={1F23BDDD-ECFD-40A3-845F-DC6C9AA9BF16}</author>
    <author>tc={9E318276-FE9F-4B56-8A8D-2D5B0E351CD3}</author>
    <author>tc={2F0DF63C-B19B-4FD5-90CC-3E0C777DA88F}</author>
    <author>tc={15A6D775-1991-4C0D-A474-6167C5DF0EBC}</author>
    <author>tc={94965D7B-4838-4928-ABD4-8B999DF4FC4A}</author>
    <author>tc={33CE94AF-EA73-4240-B692-6ECA2A4BC0BA}</author>
    <author>tc={AE4ACA2E-C7D4-4D28-A108-3931750B79F9}</author>
    <author>tc={0A4031A0-0438-4B53-89CA-1D13B74730D9}</author>
    <author>tc={AF12B28F-2128-41F2-84C4-B9BCE624DDA4}</author>
    <author>tc={E03ACBAC-C6AE-4870-9547-98F07802EAE9}</author>
    <author>tc={C6AF1899-DCD6-48AC-8CB3-0874E529844D}</author>
    <author>tc={87E4C975-0229-486F-84F1-2364C30E60CC}</author>
    <author>tc={1C54D93E-CC91-4A5E-B86B-41687D29CC7E}</author>
    <author>tc={8AC37C13-349C-4778-AC54-C50198ED50F7}</author>
    <author>tc={D7ACD219-9789-4701-A9F0-F50C6A90BA49}</author>
    <author>tc={8A08F05F-C141-44B3-844B-2AA0AA92254C}</author>
    <author>tc={C6B5B7DB-2489-46AC-B645-15C938FABE17}</author>
    <author>tc={29C29021-108B-4093-A4A2-EA0CFA2F073E}</author>
  </authors>
  <commentList>
    <comment ref="X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Coefficient for FOM is found in "CMOS FOM coeff. calculation" tab</t>
      </text>
    </comment>
    <comment ref="L4"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power gain</t>
      </text>
    </comment>
    <comment ref="AB9" authorId="2" shapeId="0" xr:uid="{00000000-0006-0000-0100-000003000000}">
      <text>
        <t>[Threaded comment]
Your version of Excel allows you to read this threaded comment; however, any edits to it will get removed if the file is opened in a newer version of Excel. Learn more: https://go.microsoft.com/fwlink/?linkid=870924
Comment:
    everything below this has good abstract</t>
      </text>
    </comment>
    <comment ref="AA25" authorId="3" shapeId="0" xr:uid="{00000000-0006-0000-0100-000004000000}">
      <text>
        <t>[Threaded comment]
Your version of Excel allows you to read this threaded comment; however, any edits to it will get removed if the file is opened in a newer version of Excel. Learn more: https://go.microsoft.com/fwlink/?linkid=870924
Comment:
    area stuff starts here</t>
      </text>
    </comment>
    <comment ref="B34" authorId="4" shapeId="0" xr:uid="{00000000-0006-0000-0100-000005000000}">
      <text>
        <t>[Threaded comment]
Your version of Excel allows you to read this threaded comment; however, any edits to it will get removed if the file is opened in a newer version of Excel. Learn more: https://go.microsoft.com/fwlink/?linkid=870924
Comment:
    variable gain</t>
      </text>
    </comment>
    <comment ref="M39" authorId="5" shapeId="0" xr:uid="{00000000-0006-0000-0100-000006000000}">
      <text>
        <t>[Threaded comment]
Your version of Excel allows you to read this threaded comment; however, any edits to it will get removed if the file is opened in a newer version of Excel. Learn more: https://go.microsoft.com/fwlink/?linkid=870924
Comment:
    Power also drawn from a 1.8V supply</t>
      </text>
    </comment>
    <comment ref="M42" authorId="6" shapeId="0" xr:uid="{00000000-0006-0000-0100-000007000000}">
      <text>
        <t>[Threaded comment]
Your version of Excel allows you to read this threaded comment; however, any edits to it will get removed if the file is opened in a newer version of Excel. Learn more: https://go.microsoft.com/fwlink/?linkid=870924
Comment:
    A 1.8V supply is also used</t>
      </text>
    </comment>
    <comment ref="L43" authorId="7" shapeId="0" xr:uid="{00000000-0006-0000-0100-000008000000}">
      <text>
        <t>[Threaded comment]
Your version of Excel allows you to read this threaded comment; however, any edits to it will get removed if the file is opened in a newer version of Excel. Learn more: https://go.microsoft.com/fwlink/?linkid=870924
Comment:
    This is a VGLNA with variable gain of 46dB</t>
      </text>
    </comment>
    <comment ref="L218" authorId="8" shapeId="0" xr:uid="{00000000-0006-0000-0100-000009000000}">
      <text>
        <t>[Threaded comment]
Your version of Excel allows you to read this threaded comment; however, any edits to it will get removed if the file is opened in a newer version of Excel. Learn more: https://go.microsoft.com/fwlink/?linkid=870924
Comment:
    This LNA can also have gains of -7dB. 8dB and 20dB</t>
      </text>
    </comment>
    <comment ref="L219" authorId="9" shapeId="0" xr:uid="{00000000-0006-0000-0100-00000A000000}">
      <text>
        <t>[Threaded comment]
Your version of Excel allows you to read this threaded comment; however, any edits to it will get removed if the file is opened in a newer version of Excel. Learn more: https://go.microsoft.com/fwlink/?linkid=870924
Comment:
    programmable gain from -10dB to 8dB</t>
      </text>
    </comment>
    <comment ref="L235" authorId="10" shapeId="0" xr:uid="{00000000-0006-0000-0100-00000B000000}">
      <text>
        <t>[Threaded comment]
Your version of Excel allows you to read this threaded comment; however, any edits to it will get removed if the file is opened in a newer version of Excel. Learn more: https://go.microsoft.com/fwlink/?linkid=870924
Comment:
    Gain can be changed from 14dB to 21dB</t>
      </text>
    </comment>
    <comment ref="L250" authorId="11" shapeId="0" xr:uid="{00000000-0006-0000-0100-00000C000000}">
      <text>
        <t>[Threaded comment]
Your version of Excel allows you to read this threaded comment; however, any edits to it will get removed if the file is opened in a newer version of Excel. Learn more: https://go.microsoft.com/fwlink/?linkid=870924
Comment:
    This LNA has gain modes of high, medium and low</t>
      </text>
    </comment>
    <comment ref="L261" authorId="12" shapeId="0" xr:uid="{00000000-0006-0000-0100-00000D000000}">
      <text>
        <t>[Threaded comment]
Your version of Excel allows you to read this threaded comment; however, any edits to it will get removed if the file is opened in a newer version of Excel. Learn more: https://go.microsoft.com/fwlink/?linkid=870924
Comment:
    Has low gain and high gain of 10dB and 19dB</t>
      </text>
    </comment>
    <comment ref="L262" authorId="13" shapeId="0" xr:uid="{00000000-0006-0000-0100-00000E000000}">
      <text>
        <t>[Threaded comment]
Your version of Excel allows you to read this threaded comment; however, any edits to it will get removed if the file is opened in a newer version of Excel. Learn more: https://go.microsoft.com/fwlink/?linkid=870924
Comment:
    Has a gain tunability of 9dB</t>
      </text>
    </comment>
    <comment ref="L263" authorId="14" shapeId="0" xr:uid="{00000000-0006-0000-0100-00000F000000}">
      <text>
        <t>[Threaded comment]
Your version of Excel allows you to read this threaded comment; however, any edits to it will get removed if the file is opened in a newer version of Excel. Learn more: https://go.microsoft.com/fwlink/?linkid=870924
Comment:
    Gain can be varied from 13dB to 22dB</t>
      </text>
    </comment>
    <comment ref="B271" authorId="15" shapeId="0" xr:uid="{00000000-0006-0000-0100-000010000000}">
      <text>
        <t>[Threaded comment]
Your version of Excel allows you to read this threaded comment; however, any edits to it will get removed if the file is opened in a newer version of Excel. Learn more: https://go.microsoft.com/fwlink/?linkid=870924
Comment:
    variable mode lna with different S11 narrowband spikes at different frequencies</t>
      </text>
    </comment>
    <comment ref="L271" authorId="16" shapeId="0" xr:uid="{00000000-0006-0000-0100-000011000000}">
      <text>
        <t>[Threaded comment]
Your version of Excel allows you to read this threaded comment; however, any edits to it will get removed if the file is opened in a newer version of Excel. Learn more: https://go.microsoft.com/fwlink/?linkid=870924
Comment:
    Programmable gain from 13dB to 22dB</t>
      </text>
    </comment>
    <comment ref="L272" authorId="17" shapeId="0" xr:uid="{00000000-0006-0000-0100-000012000000}">
      <text>
        <t>[Threaded comment]
Your version of Excel allows you to read this threaded comment; however, any edits to it will get removed if the file is opened in a newer version of Excel. Learn more: https://go.microsoft.com/fwlink/?linkid=870924
Comment:
    Programmable gain from 14dB to 24dB</t>
      </text>
    </comment>
    <comment ref="L279" authorId="18" shapeId="0" xr:uid="{00000000-0006-0000-0100-000013000000}">
      <text>
        <t>[Threaded comment]
Your version of Excel allows you to read this threaded comment; however, any edits to it will get removed if the file is opened in a newer version of Excel. Learn more: https://go.microsoft.com/fwlink/?linkid=870924
Comment:
    This LNA has a high gain mode of 17.5dB and a low gain mode of 9.5dB</t>
      </text>
    </comment>
    <comment ref="L280" authorId="19" shapeId="0" xr:uid="{00000000-0006-0000-0100-000014000000}">
      <text>
        <t>[Threaded comment]
Your version of Excel allows you to read this threaded comment; however, any edits to it will get removed if the file is opened in a newer version of Excel. Learn more: https://go.microsoft.com/fwlink/?linkid=870924
Comment:
    Gain can be varied from 18 to 29.6</t>
      </text>
    </comment>
    <comment ref="P289" authorId="20" shapeId="0" xr:uid="{00000000-0006-0000-0100-000015000000}">
      <text>
        <t>[Threaded comment]
Your version of Excel allows you to read this threaded comment; however, any edits to it will get removed if the file is opened in a newer version of Excel. Learn more: https://go.microsoft.com/fwlink/?linkid=870924
Comment:
    includes antenna</t>
      </text>
    </comment>
    <comment ref="M367" authorId="21" shapeId="0" xr:uid="{00000000-0006-0000-0100-000016000000}">
      <text>
        <t>[Threaded comment]
Your version of Excel allows you to read this threaded comment; however, any edits to it will get removed if the file is opened in a newer version of Excel. Learn more: https://go.microsoft.com/fwlink/?linkid=870924
Comment:
    Second stage operates with 1V</t>
      </text>
    </comment>
    <comment ref="L379" authorId="22" shapeId="0" xr:uid="{00000000-0006-0000-0100-000017000000}">
      <text>
        <t>[Threaded comment]
Your version of Excel allows you to read this threaded comment; however, any edits to it will get removed if the file is opened in a newer version of Excel. Learn more: https://go.microsoft.com/fwlink/?linkid=870924
Comment:
    This is a VGLNA with gain range from 8dB to 26dB</t>
      </text>
    </comment>
    <comment ref="M412" authorId="23" shapeId="0" xr:uid="{00000000-0006-0000-0100-000018000000}">
      <text>
        <t>[Threaded comment]
Your version of Excel allows you to read this threaded comment; however, any edits to it will get removed if the file is opened in a newer version of Excel. Learn more: https://go.microsoft.com/fwlink/?linkid=870924
Comment:
    A 1V supply is also used</t>
      </text>
    </comment>
    <comment ref="M477" authorId="24" shapeId="0" xr:uid="{00000000-0006-0000-0100-000019000000}">
      <text>
        <t>[Threaded comment]
Your version of Excel allows you to read this threaded comment; however, any edits to it will get removed if the file is opened in a newer version of Excel. Learn more: https://go.microsoft.com/fwlink/?linkid=870924
Comment:
    1st, 2nd, 3rd, 4th stage biased at 0.7V, 1.4V, 1.4V, 0.6V</t>
      </text>
    </comment>
    <comment ref="M482" authorId="25" shapeId="0" xr:uid="{00000000-0006-0000-0100-00001A000000}">
      <text>
        <t>[Threaded comment]
Your version of Excel allows you to read this threaded comment; however, any edits to it will get removed if the file is opened in a newer version of Excel. Learn more: https://go.microsoft.com/fwlink/?linkid=870924
Comment:
    Vdd1=1.5, Vg1=0.75, Vdd2=1.5,Vg2=0.75, Vdd3=1.2, Vg3=0.65, Vg4=0.45</t>
      </text>
    </comment>
    <comment ref="M492" authorId="26" shapeId="0" xr:uid="{00000000-0006-0000-0100-00001B000000}">
      <text>
        <t>[Threaded comment]
Your version of Excel allows you to read this threaded comment; however, any edits to it will get removed if the file is opened in a newer version of Excel. Learn more: https://go.microsoft.com/fwlink/?linkid=870924
Comment:
    Vd=0.28V, Vg=0.38V</t>
      </text>
    </comment>
    <comment ref="L537" authorId="27" shapeId="0" xr:uid="{00000000-0006-0000-0100-00001C000000}">
      <text>
        <t>[Threaded comment]
Your version of Excel allows you to read this threaded comment; however, any edits to it will get removed if the file is opened in a newer version of Excel. Learn more: https://go.microsoft.com/fwlink/?linkid=870924
Comment:
    Gain can be controlled from 3.6dB to 12.5dB</t>
      </text>
    </comment>
    <comment ref="M562" authorId="28" shapeId="0" xr:uid="{00000000-0006-0000-0100-00001D000000}">
      <text>
        <t>[Threaded comment]
Your version of Excel allows you to read this threaded comment; however, any edits to it will get removed if the file is opened in a newer version of Excel. Learn more: https://go.microsoft.com/fwlink/?linkid=870924
Comment:
    Vdd1=1.2V, Vdd2=1.4V</t>
      </text>
    </comment>
    <comment ref="M577" authorId="29" shapeId="0" xr:uid="{00000000-0006-0000-0100-00001E000000}">
      <text>
        <t>[Threaded comment]
Your version of Excel allows you to read this threaded comment; however, any edits to it will get removed if the file is opened in a newer version of Excel. Learn more: https://go.microsoft.com/fwlink/?linkid=870924
Comment:
    Vd1,2,3=1.5V</t>
      </text>
    </comment>
    <comment ref="M587" authorId="30" shapeId="0" xr:uid="{00000000-0006-0000-0100-00001F000000}">
      <text>
        <t>[Threaded comment]
Your version of Excel allows you to read this threaded comment; however, any edits to it will get removed if the file is opened in a newer version of Excel. Learn more: https://go.microsoft.com/fwlink/?linkid=870924
Comment:
    Vdd=1.8V, Vgs1=0.62V, Vgs2,3=0,7V</t>
      </text>
    </comment>
    <comment ref="M608" authorId="31" shapeId="0" xr:uid="{00000000-0006-0000-0100-000020000000}">
      <text>
        <t>[Threaded comment]
Your version of Excel allows you to read this threaded comment; however, any edits to it will get removed if the file is opened in a newer version of Excel. Learn more: https://go.microsoft.com/fwlink/?linkid=870924
Comment:
    Vgs=0.75V</t>
      </text>
    </comment>
    <comment ref="L618" authorId="32" shapeId="0" xr:uid="{00000000-0006-0000-0100-000021000000}">
      <text>
        <t>[Threaded comment]
Your version of Excel allows you to read this threaded comment; however, any edits to it will get removed if the file is opened in a newer version of Excel. Learn more: https://go.microsoft.com/fwlink/?linkid=870924
Comment:
    This is a VGLNA with gain control of 10.8dB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tc={E94F5FF6-329B-4C2C-A61A-45FCE2223D6E}</author>
    <author>tc={5221B344-FBB4-4F02-9B83-4DD3EF8BD892}</author>
    <author>tc={3738D892-241F-4B54-9EF4-7F024E8E5D38}</author>
    <author>tc={08B821C6-EEF1-4F04-BA1D-35476C56E6CC}</author>
    <author>tc={A5360156-167B-469B-B79A-718D8938FC54}</author>
    <author>tc={2A7CAF85-2D21-4BDE-B79D-3EA0D2F8762C}</author>
    <author>tc={E30061ED-130A-4793-A29F-7A01F44146A8}</author>
  </authors>
  <commentList>
    <comment ref="M48"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Last stage is biased at 2.5V</t>
      </text>
    </comment>
    <comment ref="M58"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VGS,1=0.05V,VDS,1=0.5V,VGS,2=0.3V , VDS,2=0.6V for the first and second stage according to the paper</t>
      </text>
    </comment>
    <comment ref="M59" authorId="2"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Rf input=0.1V, RF output=1.4</t>
      </text>
    </comment>
    <comment ref="M68" authorId="3"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Vgs=0.15, Vds=1</t>
      </text>
    </comment>
    <comment ref="M74" authorId="4" shapeId="0" xr:uid="{00000000-0006-0000-0200-000005000000}">
      <text>
        <t>[Threaded comment]
Your version of Excel allows you to read this threaded comment; however, any edits to it will get removed if the file is opened in a newer version of Excel. Learn more: https://go.microsoft.com/fwlink/?linkid=870924
Comment:
    Vd1=2.4V, Vd2=4</t>
      </text>
    </comment>
    <comment ref="M80" authorId="5" shapeId="0" xr:uid="{00000000-0006-0000-0200-000006000000}">
      <text>
        <t>[Threaded comment]
Your version of Excel allows you to read this threaded comment; however, any edits to it will get removed if the file is opened in a newer version of Excel. Learn more: https://go.microsoft.com/fwlink/?linkid=870924
Comment:
    bias of the first stage was changed from 0.2V to 1V, while,bias of other stages fixed at 0.6V</t>
      </text>
    </comment>
    <comment ref="M100" authorId="6" shapeId="0" xr:uid="{00000000-0006-0000-0200-000007000000}">
      <text>
        <t>[Threaded comment]
Your version of Excel allows you to read this threaded comment; however, any edits to it will get removed if the file is opened in a newer version of Excel. Learn more: https://go.microsoft.com/fwlink/?linkid=870924
Comment:
    Vd=2V, Vg1=-0.4V, Vg2,3=-0.5V</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tc={FB5E8658-DAE8-4817-A8B2-31F916C5F70E}</author>
    <author>tc={2E902A45-078C-4084-A33D-D10373BFC25D}</author>
    <author>tc={8B848E2D-F006-4DBD-A137-EBFC87931FD6}</author>
    <author>tc={B35B570F-A793-4133-828B-FD9A1EC90216}</author>
    <author>tc={104C1DD6-1DFD-419A-BA37-0F4E0B3E7999}</author>
    <author>tc={58BFBBE2-4FEE-4CD4-8C60-D507338B5357}</author>
    <author>tc={B389CEEF-3060-4A62-A026-21C2F3A075AE}</author>
    <author>tc={966E6BEB-0CF4-4984-AEE3-C2769B11052B}</author>
    <author>tc={28DCF777-A709-4AC8-AFE7-B789DB2AE4FF}</author>
    <author>tc={5279201C-909B-48E9-A8A7-196EA9AA44B6}</author>
    <author>tc={4C659F67-7D6F-4FDB-802C-C6E2C924DA87}</author>
    <author>tc={AE02E60C-8ECF-4754-B1C4-D8D263696698}</author>
  </authors>
  <commentList>
    <comment ref="O4"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At room temperature</t>
      </text>
    </comment>
    <comment ref="I12"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at room temperature</t>
      </text>
    </comment>
    <comment ref="I13" authorId="2" shapeId="0" xr:uid="{00000000-0006-0000-0300-000003000000}">
      <text>
        <t>[Threaded comment]
Your version of Excel allows you to read this threaded comment; however, any edits to it will get removed if the file is opened in a newer version of Excel. Learn more: https://go.microsoft.com/fwlink/?linkid=870924
Comment:
    at room temperature</t>
      </text>
    </comment>
    <comment ref="O64" authorId="3" shapeId="0" xr:uid="{00000000-0006-0000-0300-000004000000}">
      <text>
        <t>[Threaded comment]
Your version of Excel allows you to read this threaded comment; however, any edits to it will get removed if the file is opened in a newer version of Excel. Learn more: https://go.microsoft.com/fwlink/?linkid=870924
Comment:
    This is the gain at 300K</t>
      </text>
    </comment>
    <comment ref="P77" authorId="4" shapeId="0" xr:uid="{00000000-0006-0000-0300-000005000000}">
      <text>
        <t>[Threaded comment]
Your version of Excel allows you to read this threaded comment; however, any edits to it will get removed if the file is opened in a newer version of Excel. Learn more: https://go.microsoft.com/fwlink/?linkid=870924
Comment:
    Vg=0.4V, Vd=0.6</t>
      </text>
    </comment>
    <comment ref="P78" authorId="5" shapeId="0" xr:uid="{00000000-0006-0000-0300-000006000000}">
      <text>
        <t>[Threaded comment]
Your version of Excel allows you to read this threaded comment; however, any edits to it will get removed if the file is opened in a newer version of Excel. Learn more: https://go.microsoft.com/fwlink/?linkid=870924
Comment:
    Vg=0.4V, Vd=0.8V</t>
      </text>
    </comment>
    <comment ref="P79" authorId="6" shapeId="0" xr:uid="{00000000-0006-0000-0300-000007000000}">
      <text>
        <t>[Threaded comment]
Your version of Excel allows you to read this threaded comment; however, any edits to it will get removed if the file is opened in a newer version of Excel. Learn more: https://go.microsoft.com/fwlink/?linkid=870924
Comment:
    Vg=0.3V, Vd=0.8V</t>
      </text>
    </comment>
    <comment ref="P80" authorId="7" shapeId="0" xr:uid="{00000000-0006-0000-0300-000008000000}">
      <text>
        <t>[Threaded comment]
Your version of Excel allows you to read this threaded comment; however, any edits to it will get removed if the file is opened in a newer version of Excel. Learn more: https://go.microsoft.com/fwlink/?linkid=870924
Comment:
    Vg=-0.2, Vd=0.6</t>
      </text>
    </comment>
    <comment ref="P83" authorId="8" shapeId="0" xr:uid="{00000000-0006-0000-0300-000009000000}">
      <text>
        <t>[Threaded comment]
Your version of Excel allows you to read this threaded comment; however, any edits to it will get removed if the file is opened in a newer version of Excel. Learn more: https://go.microsoft.com/fwlink/?linkid=870924
Comment:
    Vb1,2,3=0.7V, Vb4=0.9V</t>
      </text>
    </comment>
    <comment ref="P85" authorId="9" shapeId="0" xr:uid="{00000000-0006-0000-0300-00000A000000}">
      <text>
        <t>[Threaded comment]
Your version of Excel allows you to read this threaded comment; however, any edits to it will get removed if the file is opened in a newer version of Excel. Learn more: https://go.microsoft.com/fwlink/?linkid=870924
Comment:
    Vd1=0.4V, Vd1,2,3,4=0.7V</t>
      </text>
    </comment>
    <comment ref="P86" authorId="10" shapeId="0" xr:uid="{00000000-0006-0000-0300-00000B000000}">
      <text>
        <t>[Threaded comment]
Your version of Excel allows you to read this threaded comment; however, any edits to it will get removed if the file is opened in a newer version of Excel. Learn more: https://go.microsoft.com/fwlink/?linkid=870924
Comment:
    Vc1=0.85V, Vc2=0.85</t>
      </text>
    </comment>
    <comment ref="P112" authorId="11" shapeId="0" xr:uid="{00000000-0006-0000-0300-00000C000000}">
      <text>
        <t>[Threaded comment]
Your version of Excel allows you to read this threaded comment; however, any edits to it will get removed if the file is opened in a newer version of Excel. Learn more: https://go.microsoft.com/fwlink/?linkid=870924
Comment:
    Vd=0.9V, Vg=0.02V</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tc={1C285BB5-8101-4822-8181-EA7D7D39F1E3}</author>
    <author>tc={0739BA29-8C38-4115-B631-462BFDB718BC}</author>
  </authors>
  <commentList>
    <comment ref="E8"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DHBT</t>
      </text>
    </comment>
    <comment ref="M30"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Vd1=1.5V, Vd2,3=1.8V</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tc={DB5565C4-966A-443D-ADC2-9E61F450C294}</author>
    <author>tc={C1396F17-E7E7-438E-A24E-E15823318828}</author>
    <author>tc={09DA7044-11FE-4BA6-9ADC-4C09116468E4}</author>
    <author>tc={A5FDE70A-BF55-43C9-B461-00D422154B85}</author>
    <author>tc={C119DCC7-10EF-4008-84F6-103136769516}</author>
    <author>tc={4C561704-A3B1-4F18-BE43-A25BE43DF3EC}</author>
    <author>tc={0673AF55-0FE8-46C0-8F93-F5FC1A598AB2}</author>
    <author>tc={FC7A087B-A7EE-4B97-B45E-76B9E5350EDC}</author>
    <author>tc={F16C8E5D-7A00-4234-8D00-212880BD536E}</author>
    <author>tc={F84ED5DF-3632-4275-A3E2-4BC5B84D1F93}</author>
    <author>tc={47052D94-2A50-445F-87F3-954E287F4FF5}</author>
    <author>tc={5878A272-4571-4434-8B61-2EA90E9ACE97}</author>
    <author>tc={34FAB37B-5AB3-45B3-BAE5-89F5457DBCF2}</author>
    <author>tc={BA523641-351A-4CA3-AAAA-D962C530B25E}</author>
    <author>tc={7F37C3F8-5BC8-4D48-BCD9-75B5BD962BD7}</author>
    <author>tc={F6AD45F7-F869-4936-8B1B-BD4A64EE6EC5}</author>
    <author>tc={E1FC1DA2-2699-4579-ADED-C4670ABBEBAD}</author>
  </authors>
  <commentList>
    <comment ref="L5"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Gain can be controlled from 5dB to 20dB via dc bias current</t>
      </text>
    </comment>
    <comment ref="L6" authorId="1" shapeId="0" xr:uid="{00000000-0006-0000-0500-000002000000}">
      <text>
        <t>[Threaded comment]
Your version of Excel allows you to read this threaded comment; however, any edits to it will get removed if the file is opened in a newer version of Excel. Learn more: https://go.microsoft.com/fwlink/?linkid=870924
Comment:
    Controllable gain of about 10dB</t>
      </text>
    </comment>
    <comment ref="M7" authorId="2" shapeId="0" xr:uid="{00000000-0006-0000-0500-000003000000}">
      <text>
        <t>[Threaded comment]
Your version of Excel allows you to read this threaded comment; however, any edits to it will get removed if the file is opened in a newer version of Excel. Learn more: https://go.microsoft.com/fwlink/?linkid=870924
Comment:
    A 2.7 to 3.3V supply is used</t>
      </text>
    </comment>
    <comment ref="M22" authorId="3" shapeId="0" xr:uid="{00000000-0006-0000-0500-000004000000}">
      <text>
        <t>[Threaded comment]
Your version of Excel allows you to read this threaded comment; however, any edits to it will get removed if the file is opened in a newer version of Excel. Learn more: https://go.microsoft.com/fwlink/?linkid=870924
Comment:
    A 1.8V supply is also used</t>
      </text>
    </comment>
    <comment ref="M24" authorId="4" shapeId="0" xr:uid="{00000000-0006-0000-0500-000005000000}">
      <text>
        <t>[Threaded comment]
Your version of Excel allows you to read this threaded comment; however, any edits to it will get removed if the file is opened in a newer version of Excel. Learn more: https://go.microsoft.com/fwlink/?linkid=870924
Comment:
    A 1.5V supply is also used</t>
      </text>
    </comment>
    <comment ref="L56" authorId="5" shapeId="0" xr:uid="{00000000-0006-0000-0500-000006000000}">
      <text>
        <t>[Threaded comment]
Your version of Excel allows you to read this threaded comment; however, any edits to it will get removed if the file is opened in a newer version of Excel. Learn more: https://go.microsoft.com/fwlink/?linkid=870924
Comment:
    Has four gain modes of 15.5dB, 4dB, -5.7dB, -20dB</t>
      </text>
    </comment>
    <comment ref="L57" authorId="6" shapeId="0" xr:uid="{00000000-0006-0000-0500-000007000000}">
      <text>
        <t>[Threaded comment]
Your version of Excel allows you to read this threaded comment; however, any edits to it will get removed if the file is opened in a newer version of Excel. Learn more: https://go.microsoft.com/fwlink/?linkid=870924
Comment:
    VGLNA gain can vary from -42 to 9</t>
      </text>
    </comment>
    <comment ref="L61" authorId="7" shapeId="0" xr:uid="{00000000-0006-0000-0500-000008000000}">
      <text>
        <t>[Threaded comment]
Your version of Excel allows you to read this threaded comment; however, any edits to it will get removed if the file is opened in a newer version of Excel. Learn more: https://go.microsoft.com/fwlink/?linkid=870924
Comment:
    VGLNA has a gain range of 42.7</t>
      </text>
    </comment>
    <comment ref="L64" authorId="8" shapeId="0" xr:uid="{00000000-0006-0000-0500-000009000000}">
      <text>
        <t>[Threaded comment]
Your version of Excel allows you to read this threaded comment; however, any edits to it will get removed if the file is opened in a newer version of Excel. Learn more: https://go.microsoft.com/fwlink/?linkid=870924
Comment:
    This LNA has gain modes 24dB, 16dB, 7dB and -1dB</t>
      </text>
    </comment>
    <comment ref="M108" authorId="9" shapeId="0" xr:uid="{00000000-0006-0000-0500-00000A000000}">
      <text>
        <t>[Threaded comment]
Your version of Excel allows you to read this threaded comment; however, any edits to it will get removed if the file is opened in a newer version of Excel. Learn more: https://go.microsoft.com/fwlink/?linkid=870924
Comment:
    1.3V supply is also used</t>
      </text>
    </comment>
    <comment ref="M110" authorId="10" shapeId="0" xr:uid="{00000000-0006-0000-0500-00000B000000}">
      <text>
        <t>[Threaded comment]
Your version of Excel allows you to read this threaded comment; however, any edits to it will get removed if the file is opened in a newer version of Excel. Learn more: https://go.microsoft.com/fwlink/?linkid=870924
Comment:
    A 1.3V supply is also used</t>
      </text>
    </comment>
    <comment ref="M153" authorId="11" shapeId="0" xr:uid="{00000000-0006-0000-0500-00000C000000}">
      <text>
        <t>[Threaded comment]
Your version of Excel allows you to read this threaded comment; however, any edits to it will get removed if the file is opened in a newer version of Excel. Learn more: https://go.microsoft.com/fwlink/?linkid=870924
Comment:
    Vd1=1.5V, Vd2=2.5V</t>
      </text>
    </comment>
    <comment ref="M155" authorId="12" shapeId="0" xr:uid="{00000000-0006-0000-0500-00000D000000}">
      <text>
        <t>[Threaded comment]
Your version of Excel allows you to read this threaded comment; however, any edits to it will get removed if the file is opened in a newer version of Excel. Learn more: https://go.microsoft.com/fwlink/?linkid=870924
Comment:
    also has a 1.5V output supply</t>
      </text>
    </comment>
    <comment ref="L161" authorId="13" shapeId="0" xr:uid="{00000000-0006-0000-0500-00000E000000}">
      <text>
        <t>[Threaded comment]
Your version of Excel allows you to read this threaded comment; however, any edits to it will get removed if the file is opened in a newer version of Excel. Learn more: https://go.microsoft.com/fwlink/?linkid=870924
Comment:
    Gain is controllable from -18dB to 20dB</t>
      </text>
    </comment>
    <comment ref="L165" authorId="14" shapeId="0" xr:uid="{00000000-0006-0000-0500-00000F000000}">
      <text>
        <t>[Threaded comment]
Your version of Excel allows you to read this threaded comment; however, any edits to it will get removed if the file is opened in a newer version of Excel. Learn more: https://go.microsoft.com/fwlink/?linkid=870924
Comment:
    Gain is variable from 9dB to 20dB</t>
      </text>
    </comment>
    <comment ref="M166" authorId="15" shapeId="0" xr:uid="{00000000-0006-0000-0500-000010000000}">
      <text>
        <t>[Threaded comment]
Your version of Excel allows you to read this threaded comment; however, any edits to it will get removed if the file is opened in a newer version of Excel. Learn more: https://go.microsoft.com/fwlink/?linkid=870924
Comment:
    Vce1=3.3V, Vce2=1.5V</t>
      </text>
    </comment>
    <comment ref="I175" authorId="16" shapeId="0" xr:uid="{00000000-0006-0000-0500-000011000000}">
      <text>
        <t>[Threaded comment]
Your version of Excel allows you to read this threaded comment; however, any edits to it will get removed if the file is opened in a newer version of Excel. Learn more: https://go.microsoft.com/fwlink/?linkid=870924
Comment:
    Has 0.74dB at 78K</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tc={59863978-FF0E-4557-A957-C901397EA2EF}</author>
    <author>tc={A43329E7-80F6-4E51-A9DE-9D9D28F73959}</author>
    <author>tc={E7A3DDC3-5204-431D-B3B8-84AF62C01D52}</author>
    <author>tc={0A69163E-156A-42E0-9C25-CB97A3F6BF48}</author>
    <author>tc={E15C864F-1AE1-4F9C-89EF-588ABF7F6E8F}</author>
  </authors>
  <commentList>
    <comment ref="M30"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Vgs=-1.6V, Vds=20V</t>
      </text>
    </comment>
    <comment ref="M31" authorId="1" shapeId="0" xr:uid="{00000000-0006-0000-0600-000002000000}">
      <text>
        <t>[Threaded comment]
Your version of Excel allows you to read this threaded comment; however, any edits to it will get removed if the file is opened in a newer version of Excel. Learn more: https://go.microsoft.com/fwlink/?linkid=870924
Comment:
    Vgs1=-3.3V, Vds1=5V, Vgs2=-3V, Vds2=10V</t>
      </text>
    </comment>
    <comment ref="M48" authorId="2" shapeId="0" xr:uid="{00000000-0006-0000-0600-000003000000}">
      <text>
        <t>[Threaded comment]
Your version of Excel allows you to read this threaded comment; however, any edits to it will get removed if the file is opened in a newer version of Excel. Learn more: https://go.microsoft.com/fwlink/?linkid=870924
Comment:
    Vds=4V, Vgs=-3.5</t>
      </text>
    </comment>
    <comment ref="M51" authorId="3" shapeId="0" xr:uid="{00000000-0006-0000-0600-000004000000}">
      <text>
        <t>[Threaded comment]
Your version of Excel allows you to read this threaded comment; however, any edits to it will get removed if the file is opened in a newer version of Excel. Learn more: https://go.microsoft.com/fwlink/?linkid=870924
Comment:
    Vds=10V, Vgs=-2.9V</t>
      </text>
    </comment>
    <comment ref="M52" authorId="4" shapeId="0" xr:uid="{00000000-0006-0000-0600-000005000000}">
      <text>
        <t>[Threaded comment]
Your version of Excel allows you to read this threaded comment; however, any edits to it will get removed if the file is opened in a newer version of Excel. Learn more: https://go.microsoft.com/fwlink/?linkid=870924
Comment:
    Vd=12V, Vgs=-3.5V</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tc={3D4DADF3-73D2-4858-B10C-125BDA5F6B70}</author>
    <author>tc={0E9D8174-A49F-4D68-92DE-7D003C28BF23}</author>
    <author>tc={DEB98C1B-4FAB-43E0-B617-D455DACDCFB9}</author>
    <author>tc={D637FCF8-E359-4AA3-A0C5-E08D0F2C1CB5}</author>
    <author>tc={C6D6F02F-1FE9-48C5-8E7A-1794125D266D}</author>
    <author>tc={DCBEB131-1141-4754-8EB0-87AF459F2510}</author>
    <author>tc={92AC961D-DE10-4925-9BA7-D7B473C305CD}</author>
    <author>tc={419D69F8-4834-4506-B72E-2DAAAFCBB649}</author>
    <author>tc={8879640A-5EF5-4824-A7B5-C419A160C9D8}</author>
    <author>tc={506A2988-4D97-4F20-887E-C8BC4B7A52B7}</author>
    <author>tc={6710E29B-CFA4-4782-A2A4-70F30DCA112D}</author>
    <author>tc={EA24A462-1A94-4100-B916-E3BE66E52533}</author>
    <author>tc={A95319E5-70E5-4E07-85E4-9468590A1611}</author>
    <author>tc={3DA8B784-315E-4AD0-B3F9-C9AC4FE3F221}</author>
    <author>tc={1BD90F8D-C70F-453E-AE8A-37AB84421462}</author>
    <author>tc={B6B7E40B-225B-45B4-96ED-A4DEF4655093}</author>
    <author>tc={EADA8ED0-75CB-4F9D-BE61-B2C1C20E0C65}</author>
    <author>tc={8EE3503E-3E03-4547-8AB4-B14F7C4DBFA0}</author>
    <author>tc={71EEADFD-24AF-4440-A28D-A24533034B42}</author>
    <author>tc={53A686EB-1805-4C6B-84FB-AD47D0AA6DC0}</author>
    <author>tc={9A012D8D-A594-4331-B11E-FABA7A0FFEEC}</author>
    <author>tc={001BED46-A8A1-4479-811C-FC58C1A0FA0F}</author>
    <author>tc={6F42D00C-3B2F-4469-AE03-DBBEDFB6C309}</author>
    <author>tc={F1F86DA5-3439-43D8-BEA8-289B4296F0EE}</author>
    <author>tc={C80F0A9D-4DDA-4075-A444-083E0C6F7B83}</author>
    <author>tc={677762CB-4C1C-46C1-94B3-2CD27C0C4084}</author>
    <author>tc={3C88DEA9-A235-426A-8337-32E7F6FEDEB5}</author>
    <author>tc={D1FB886A-4098-4075-9C1B-D5EBB28C35D2}</author>
    <author>tc={808C9C73-A191-4324-97A7-66D20727FD18}</author>
    <author>tc={79933ECA-8B53-4E33-9F96-77EDB82D7CE2}</author>
    <author>tc={3B5D6619-9D5C-4302-8FFE-42B44D2FA988}</author>
    <author>tc={33D008D4-FBDB-4357-9131-8579D0B6E913}</author>
    <author>tc={30A42C42-486A-4AA9-BDAC-D380C71263EB}</author>
  </authors>
  <commentList>
    <comment ref="E4" authorId="0" shapeId="0" xr:uid="{00000000-0006-0000-0E00-000001000000}">
      <text>
        <t>[Threaded comment]
Your version of Excel allows you to read this threaded comment; however, any edits to it will get removed if the file is opened in a newer version of Excel. Learn more: https://go.microsoft.com/fwlink/?linkid=870924
Comment:
    02/2005 CMOS
12/2006 CMOS
10/2010 CMOS
04/06/2013 CMOS (RFIC)
11/2011 CMOS (MWCL)</t>
      </text>
    </comment>
    <comment ref="F6" authorId="1" shapeId="0" xr:uid="{00000000-0006-0000-0E00-000002000000}">
      <text>
        <t>[Threaded comment]
Your version of Excel allows you to read this threaded comment; however, any edits to it will get removed if the file is opened in a newer version of Excel. Learn more: https://go.microsoft.com/fwlink/?linkid=870924
Comment:
    12/2006 GaAs
12/2011 CMOS
01/2013 CMOS (bandwidth is replaced by frequency in Ghz)
10/2013 CMOS (Gain[linear] is the average of maximum and minimum gain(min gain is not recorder in database but is 13.5 and 10 for this paper))
02/2009: CMOS(JSSC)
03/2017: CMOS (JSSC)
11/2017: CMOS (JSSC)
11/06/2004: SiGe (IMS)
06/06/2014: InP (IMS)
06/06/2014: SiGe (IMS)
12/2007: CMOS (MWCL)
11/2009: CMOS (MWCL)
03/2014: CMOS (MWCL)
04/2017: SiGe (MWCL) *(F is replaced by Fave=1.584)</t>
      </text>
    </comment>
    <comment ref="F9" authorId="2" shapeId="0" xr:uid="{00000000-0006-0000-0E00-000003000000}">
      <text>
        <t>[Threaded comment]
Your version of Excel allows you to read this threaded comment; however, any edits to it will get removed if the file is opened in a newer version of Excel. Learn more: https://go.microsoft.com/fwlink/?linkid=870924
Comment:
    11/2008 SiGe</t>
      </text>
    </comment>
    <comment ref="F12" authorId="3" shapeId="0" xr:uid="{00000000-0006-0000-0E00-000004000000}">
      <text>
        <t>[Threaded comment]
Your version of Excel allows you to read this threaded comment; however, any edits to it will get removed if the file is opened in a newer version of Excel. Learn more: https://go.microsoft.com/fwlink/?linkid=870924
Comment:
    12/2009 CMOS
06/2013 CMOS
17/06/2008 CMOS: RFIC
04/06/2013 CMOS: RFIC
22/06/2012 CMOS: IMS
07/06/2013 CMOS: IMS
07/06/2013 CMOS: IMS
07/2010 CMOS: MWCL *(NF and Gain is replaced by NFaverage=2.9dB and Gain_ave=18.5dB)
12/2010 CMOS: MWCL
02/2011 CMOS: MWCL *(Gain and NF are replaced by gain_average=20dB and NFave=8.3dB)
11/2011 CMOS: MWCL
04/2012 CMOS: MWCL
05/2012 CMOS : MWCL *(NF is replaced by NFave=4.8dB)</t>
      </text>
    </comment>
    <comment ref="J16" authorId="4" shapeId="0" xr:uid="{00000000-0006-0000-0E00-000005000000}">
      <text>
        <t>[Threaded comment]
Your version of Excel allows you to read this threaded comment; however, any edits to it will get removed if the file is opened in a newer version of Excel. Learn more: https://go.microsoft.com/fwlink/?linkid=870924
Comment:
    07/2010 InP
FOM5: 09/2008 SiGe JSSC, 
gain=10^(gain(dB)/10)</t>
      </text>
    </comment>
    <comment ref="G19" authorId="5" shapeId="0" xr:uid="{00000000-0006-0000-0E00-000006000000}">
      <text>
        <t>[Threaded comment]
Your version of Excel allows you to read this threaded comment; however, any edits to it will get removed if the file is opened in a newer version of Excel. Learn more: https://go.microsoft.com/fwlink/?linkid=870924
Comment:
    10/2010 CMOS</t>
      </text>
    </comment>
    <comment ref="G22" authorId="6" shapeId="0" xr:uid="{00000000-0006-0000-0E00-000007000000}">
      <text>
        <t>[Threaded comment]
Your version of Excel allows you to read this threaded comment; however, any edits to it will get removed if the file is opened in a newer version of Excel. Learn more: https://go.microsoft.com/fwlink/?linkid=870924
Comment:
    12/2011 CMOS
09/2012 CMOS (MWCL) *(fc is replaced by BW=8.5GHz) *(ESD=8kV)</t>
      </text>
    </comment>
    <comment ref="G25" authorId="7" shapeId="0" xr:uid="{00000000-0006-0000-0E00-000008000000}">
      <text>
        <t>[Threaded comment]
Your version of Excel allows you to read this threaded comment; however, any edits to it will get removed if the file is opened in a newer version of Excel. Learn more: https://go.microsoft.com/fwlink/?linkid=870924
Comment:
    12/2011 CMOS
10/06/2011 CMOS (IMS)
11/2016 CMOS (MWCL) *(BW=6Ghz is used from simulation, and not 4.1Ghz from measurement)</t>
      </text>
    </comment>
    <comment ref="F28" authorId="8" shapeId="0" xr:uid="{00000000-0006-0000-0E00-000009000000}">
      <text>
        <t>[Threaded comment]
Your version of Excel allows you to read this threaded comment; however, any edits to it will get removed if the file is opened in a newer version of Excel. Learn more: https://go.microsoft.com/fwlink/?linkid=870924
Comment:
    CMOS 08/2012
CMOS 03/2015</t>
      </text>
    </comment>
    <comment ref="F31" authorId="9" shapeId="0" xr:uid="{00000000-0006-0000-0E00-00000A000000}">
      <text>
        <t>[Threaded comment]
Your version of Excel allows you to read this threaded comment; however, any edits to it will get removed if the file is opened in a newer version of Excel. Learn more: https://go.microsoft.com/fwlink/?linkid=870924
Comment:
    01/2013 CMOS</t>
      </text>
    </comment>
    <comment ref="K34" authorId="10" shapeId="0" xr:uid="{00000000-0006-0000-0E00-00000B000000}">
      <text>
        <t>[Threaded comment]
Your version of Excel allows you to read this threaded comment; however, any edits to it will get removed if the file is opened in a newer version of Excel. Learn more: https://go.microsoft.com/fwlink/?linkid=870924
Comment:
    05/2013 CMOS
07/2005 CMOS: JSSC
FOM12,13: 08/06/2007 SiGe (IMS)
FOM12,13: 09/2006 SiGe(MWCL)
FOM13: 07/2007 CMOS (MWCL)
FOM12,13: 03/2009 CMOS(MWCL)
FOM13: 04/2012 CMOS (MWCL)</t>
      </text>
    </comment>
    <comment ref="I36" authorId="11" shapeId="0" xr:uid="{00000000-0006-0000-0E00-00000C000000}">
      <text>
        <t>[Threaded comment]
Your version of Excel allows you to read this threaded comment; however, any edits to it will get removed if the file is opened in a newer version of Excel. Learn more: https://go.microsoft.com/fwlink/?linkid=870924
Comment:
    06/2013 CMOS</t>
      </text>
    </comment>
    <comment ref="F40" authorId="12" shapeId="0" xr:uid="{00000000-0006-0000-0E00-00000D000000}">
      <text>
        <t>[Threaded comment]
Your version of Excel allows you to read this threaded comment; however, any edits to it will get removed if the file is opened in a newer version of Excel. Learn more: https://go.microsoft.com/fwlink/?linkid=870924
Comment:
    CMOS 06/2015 *(BW is in GHz)
06/06/2014: SiGe (IMS) 
06/06/2014: SiGe(IMS) *(BW is replaced by f=20Ghz) *(Gain(linear)=10^(Gain(dB)/10))
04/2006: CMOS (MWCL)
11/2016 CMOS (MWCL) *(Gain(linear)=10^(Gain(dB)/10)) *(BW is replaced by f=79.5Ghz)
07/2019 CMOS (MWCL)</t>
      </text>
    </comment>
    <comment ref="K43" authorId="13" shapeId="0" xr:uid="{00000000-0006-0000-0E00-00000E000000}">
      <text>
        <t>[Threaded comment]
Your version of Excel allows you to read this threaded comment; however, any edits to it will get removed if the file is opened in a newer version of Excel. Learn more: https://go.microsoft.com/fwlink/?linkid=870924
Comment:
    06/2016 CMOS
Has two FOM's
FOM16: 11/2008: CMOS (JSSC)
FOM16: 03/2016: CMOS (JSSC)
FOM16: 08/2017: CMOS (JSSC)
FOM16: 15/02/2007: CMOS (ISSCC)
FOM16: 12/06/2018: CMOS (RFIC)
FOM16: 01/2017 CMOS (MWCL) *(S21av is replaced by Gain_voltage=9.66) *(Fav=2.187)</t>
      </text>
    </comment>
    <comment ref="F46" authorId="14" shapeId="0" xr:uid="{00000000-0006-0000-0E00-00000F000000}">
      <text>
        <t>[Threaded comment]
Your version of Excel allows you to read this threaded comment; however, any edits to it will get removed if the file is opened in a newer version of Excel. Learn more: https://go.microsoft.com/fwlink/?linkid=870924
Comment:
    07/2016 CMOS</t>
      </text>
    </comment>
    <comment ref="H49" authorId="15" shapeId="0" xr:uid="{00000000-0006-0000-0E00-000010000000}">
      <text>
        <t>[Threaded comment]
Your version of Excel allows you to read this threaded comment; however, any edits to it will get removed if the file is opened in a newer version of Excel. Learn more: https://go.microsoft.com/fwlink/?linkid=870924
Comment:
    02/2018 GaAs
11/2008 CMOS (JSSC)
09/06/2009 CMOS (RFIC)
19/06/2012 CMOS (RFIC)
01/2017 CMOS (MWCL) *(Gain is replaced by gain_ave=9.66) *(Fav=2.187)</t>
      </text>
    </comment>
    <comment ref="H52" authorId="16" shapeId="0" xr:uid="{00000000-0006-0000-0E00-000011000000}">
      <text>
        <t>[Threaded comment]
Your version of Excel allows you to read this threaded comment; however, any edits to it will get removed if the file is opened in a newer version of Excel. Learn more: https://go.microsoft.com/fwlink/?linkid=870924
Comment:
    07/2001 CMOS: JSSC
FOM21: 22/06/2012 GaN: IMS
FOM21: 02/2008 (MWCL)</t>
      </text>
    </comment>
    <comment ref="F55" authorId="17" shapeId="0" xr:uid="{00000000-0006-0000-0E00-000012000000}">
      <text>
        <t>[Threaded comment]
Your version of Excel allows you to read this threaded comment; however, any edits to it will get removed if the file is opened in a newer version of Excel. Learn more: https://go.microsoft.com/fwlink/?linkid=870924
Comment:
    CMOS:05/2007  (JSSC)</t>
      </text>
    </comment>
    <comment ref="G57" authorId="18" shapeId="0" xr:uid="{00000000-0006-0000-0E00-000013000000}">
      <text>
        <t>[Threaded comment]
Your version of Excel allows you to read this threaded comment; however, any edits to it will get removed if the file is opened in a newer version of Excel. Learn more: https://go.microsoft.com/fwlink/?linkid=870924
Comment:
    02/2009 CMOS (JSSC)
10/02/2005: CMOS (ISSCC)
07/06/2011: CMOS (RFIC)
20/06/2008: SiGe (IMS) *(Gain=10^(gain(dB)/10)) *(BW[Ghz] is replaced by f=91Ghz)
27/05/2016: CMOS (IMS) *(BW[Ghz] is replaced by fc=5.9Ghz)
05/2009: CMOS (MWCL) *(Gain(linear)=10^(Gain(dB)/10)) *(F and IIP3 are average values and are equal to 2.754 and 0.562mW)
05/2009: CMOS (MWCL)
09/2010: CMOS (MWCL) *(BW is replaced by f=2Ghz)
04/2012 CMOS (MWCL) *(BW is replaced by fpeak=57.3Ghz) *(Gain=10^(gain(dB)/10))
04/2012 CMOS (MWCL) *(BW is replaced by f=5Ghz)
09/2012 CMOS (MWCL)
05/2014 CMOS (MWCL) *(BW is replaced by f=2.4Ghz)
09/2014 CMOS (MWCL)
12/2015 CMOS (MWCL)</t>
      </text>
    </comment>
    <comment ref="N61" authorId="19" shapeId="0" xr:uid="{00000000-0006-0000-0E00-000014000000}">
      <text>
        <t>[Threaded comment]
Your version of Excel allows you to read this threaded comment; however, any edits to it will get removed if the file is opened in a newer version of Excel. Learn more: https://go.microsoft.com/fwlink/?linkid=870924
Comment:
    11/2009 CMOS: JSSC</t>
      </text>
    </comment>
    <comment ref="I63" authorId="20" shapeId="0" xr:uid="{00000000-0006-0000-0E00-000015000000}">
      <text>
        <t>[Threaded comment]
Your version of Excel allows you to read this threaded comment; however, any edits to it will get removed if the file is opened in a newer version of Excel. Learn more: https://go.microsoft.com/fwlink/?linkid=870924
Comment:
    02/2010 CMOS: JSSC</t>
      </text>
    </comment>
    <comment ref="H67" authorId="21" shapeId="0" xr:uid="{00000000-0006-0000-0E00-000016000000}">
      <text>
        <t>[Threaded comment]
Your version of Excel allows you to read this threaded comment; however, any edits to it will get removed if the file is opened in a newer version of Excel. Learn more: https://go.microsoft.com/fwlink/?linkid=870924
Comment:
    05/2012 CMOS: JSSC
02/207 CMOS: MWCL</t>
      </text>
    </comment>
    <comment ref="G70" authorId="22" shapeId="0" xr:uid="{00000000-0006-0000-0E00-000017000000}">
      <text>
        <t>[Threaded comment]
Your version of Excel allows you to read this threaded comment; however, any edits to it will get removed if the file is opened in a newer version of Excel. Learn more: https://go.microsoft.com/fwlink/?linkid=870924
Comment:
    05/2018: CMOS (JSSC)
06/06/2017: CMOS (RFIC)</t>
      </text>
    </comment>
    <comment ref="F72" authorId="23" shapeId="0" xr:uid="{00000000-0006-0000-0E00-000018000000}">
      <text>
        <t>[Threaded comment]
Your version of Excel allows you to read this threaded comment; however, any edits to it will get removed if the file is opened in a newer version of Excel. Learn more: https://go.microsoft.com/fwlink/?linkid=870924
Comment:
    25/05/2010 CMOS (RFIC)</t>
      </text>
    </comment>
    <comment ref="J75" authorId="24" shapeId="0" xr:uid="{00000000-0006-0000-0E00-000019000000}">
      <text>
        <t>[Threaded comment]
Your version of Excel allows you to read this threaded comment; however, any edits to it will get removed if the file is opened in a newer version of Excel. Learn more: https://go.microsoft.com/fwlink/?linkid=870924
Comment:
    07/06/2011 CMOS (RFIC)</t>
      </text>
    </comment>
    <comment ref="F78" authorId="25" shapeId="0" xr:uid="{00000000-0006-0000-0E00-00001A000000}">
      <text>
        <t>[Threaded comment]
Your version of Excel allows you to read this threaded comment; however, any edits to it will get removed if the file is opened in a newer version of Excel. Learn more: https://go.microsoft.com/fwlink/?linkid=870924
Comment:
    04/06/2013 CMOS (RFIC)</t>
      </text>
    </comment>
    <comment ref="F81" authorId="26" shapeId="0" xr:uid="{00000000-0006-0000-0E00-00001B000000}">
      <text>
        <t>[Threaded comment]
Your version of Excel allows you to read this threaded comment; however, any edits to it will get removed if the file is opened in a newer version of Excel. Learn more: https://go.microsoft.com/fwlink/?linkid=870924
Comment:
    16/06/2006 InP (IMS)  *(f0=60Ghz) *(FOM value of paper does not match my calculated value) *</t>
      </text>
    </comment>
    <comment ref="E84" authorId="27" shapeId="0" xr:uid="{00000000-0006-0000-0E00-00001C000000}">
      <text>
        <t>[Threaded comment]
Your version of Excel allows you to read this threaded comment; however, any edits to it will get removed if the file is opened in a newer version of Excel. Learn more: https://go.microsoft.com/fwlink/?linkid=870924
Comment:
    12/06/2009 SiGe (IMS)</t>
      </text>
    </comment>
    <comment ref="G86" authorId="28" shapeId="0" xr:uid="{00000000-0006-0000-0E00-00001D000000}">
      <text>
        <t>[Threaded comment]
Your version of Excel allows you to read this threaded comment; however, any edits to it will get removed if the file is opened in a newer version of Excel. Learn more: https://go.microsoft.com/fwlink/?linkid=870924
Comment:
    28/05/2010 CMOS (IMS) *(ft=97.1Ghz)
10/2004: SiGe (MWCL) *(ft=65Ghz)</t>
      </text>
    </comment>
    <comment ref="F89" authorId="29" shapeId="0" xr:uid="{00000000-0006-0000-0E00-00001E000000}">
      <text>
        <t>[Threaded comment]
Your version of Excel allows you to read this threaded comment; however, any edits to it will get removed if the file is opened in a newer version of Excel. Learn more: https://go.microsoft.com/fwlink/?linkid=870924
Comment:
    27/05/2016: CMOS (IMS)</t>
      </text>
    </comment>
    <comment ref="F91" authorId="30" shapeId="0" xr:uid="{00000000-0006-0000-0E00-00001F000000}">
      <text>
        <t>[Threaded comment]
Your version of Excel allows you to read this threaded comment; however, any edits to it will get removed if the file is opened in a newer version of Excel. Learn more: https://go.microsoft.com/fwlink/?linkid=870924
Comment:
    03/2007 CMOS (MWCL) *(F is replaced by Fmean=10^(4.65/10)</t>
      </text>
    </comment>
    <comment ref="G94" authorId="31" shapeId="0" xr:uid="{00000000-0006-0000-0E00-000020000000}">
      <text>
        <t>[Threaded comment]
Your version of Excel allows you to read this threaded comment; however, any edits to it will get removed if the file is opened in a newer version of Excel. Learn more: https://go.microsoft.com/fwlink/?linkid=870924
Comment:
    05/2019 SiGe (MWCL)</t>
      </text>
    </comment>
    <comment ref="F97" authorId="32" shapeId="0" xr:uid="{00000000-0006-0000-0E00-000021000000}">
      <text>
        <t>[Threaded comment]
Your version of Excel allows you to read this threaded comment; however, any edits to it will get removed if the file is opened in a newer version of Excel. Learn more: https://go.microsoft.com/fwlink/?linkid=870924
Comment:
    05/2019 GaAs (MWCLA)</t>
      </text>
    </comment>
  </commentList>
</comments>
</file>

<file path=xl/sharedStrings.xml><?xml version="1.0" encoding="utf-8"?>
<sst xmlns="http://schemas.openxmlformats.org/spreadsheetml/2006/main" count="5502" uniqueCount="4043">
  <si>
    <t>Date</t>
  </si>
  <si>
    <t>Title</t>
  </si>
  <si>
    <t>Authors</t>
  </si>
  <si>
    <t>Abstract</t>
  </si>
  <si>
    <t>Link</t>
  </si>
  <si>
    <t/>
  </si>
  <si>
    <t>Bandwidth [Ghz]</t>
  </si>
  <si>
    <t>P1dB [dBm]</t>
  </si>
  <si>
    <t>Gain [dB]</t>
  </si>
  <si>
    <t>Noise Figure [dB]</t>
  </si>
  <si>
    <t>S11 [dB]</t>
  </si>
  <si>
    <t>A dual bias-feed circuit design for SiGe HBT low-noise linear amplifier</t>
  </si>
  <si>
    <t>E. Taniguchi, T. Ikushima, K. Itoh, N. Suematsu</t>
  </si>
  <si>
    <t>Technology (um)</t>
  </si>
  <si>
    <t xml:space="preserve">Technology [um] </t>
  </si>
  <si>
    <t>V. Aparin, L.E. Larson</t>
  </si>
  <si>
    <t>A novel bipolar-MOSFET low-noise amplifier (BiFET LNA), circuit configuration, design methodology, and chip implementation</t>
  </si>
  <si>
    <t>Pingxi Ma, M. Racanelli, Jie Zheng, M. Knight</t>
  </si>
  <si>
    <t>A gain-controllable wide-band low-noise amplifier in low-cost 0.8-/spl mu/m Si BiCMOS technology</t>
  </si>
  <si>
    <t>F. Seguin, B. Godara, F. Alicalapa, A. Fabre</t>
  </si>
  <si>
    <t>19/02/2004</t>
  </si>
  <si>
    <t>IIP3 [dBm]</t>
  </si>
  <si>
    <t>Image-rejection CMOS low-noise amplifier design optimization techniques</t>
  </si>
  <si>
    <t>WCDMA direct-conversion receiver front-end comparison in RF-CMOS and SiGe BiCMOS</t>
  </si>
  <si>
    <t>Wide-band code-division multiple-access direct-conversion receiver front-ends have been implemented in both 0.25-/spl mu/m RF-CMOS and SiGe BiCMOS technologies. These circuits have been designed for the same application, radio architecture, and system specifications, allowing relevant comparisons to be made. The front-ends include a bypassable low-noise amplifier, a quadrature downconverter, baseband variable-gain amplifiers, and a local-oscillator frequency divider with output buffers. At 24.5 mA of total current consumption from a 2.7-3.3-V supply, the CMOS front-end has a noise figure of 5.3 dB, in-band third-order intercept point (IIP3) and second-order intercept point (IIP2) of -14 and +20.7 dBm, respectively, and out-of-band IIP3 and IIP2 of &gt;+1.2 and +69 dBm, respectively. Compared to an SiGe front-end consuming 22 mA, the CMOS circuit has a 2-dB higher noise figure, comparable out-of-band linearity, 3-dB higher in-band IIP3, 12-dB lower in-band IIP2, and 7-dB higher LO-to-RF leakage.</t>
  </si>
  <si>
    <t>Analysis and optimization of packaged inductively degenerated common-source low-noise amplifiers with ESD protection</t>
  </si>
  <si>
    <t>P. Sivonen. A. Parssinen</t>
  </si>
  <si>
    <t>The effects of packaging in inductively degenerated common-source low-noise amplifiers (LNAs) with electrostatic discharge (ESD) protection are studied and the performance of the packaged LNA is optimized. Equations describing the input impedance, transconductance, voltage gain, and noise figure (NF) of the packaged amplifier are derived and the effects of the LNA input matching network, package, and ESD parasitics on these amplifier quantities are highlighted. From the equations, several design guidelines for the packaged LNA are obtained and a systematic approach for the ESD-protected LNA optimization is deduced. It is also shown that, in the presence of an equivalent parallel package parasitic capacitance C/sub p/, the NF in a well-optimized LNA is easily dominated by the losses of the input-matching network instead of the active device noise. Based on the theoretical results, a packaged inductively degenerated common-source LNA with ESD protection is designed in a 0.13-/spl mu/m CMOS process. The amplifier provides a forward gain (S/sub 21/) of almost 18 dB at 2 GHz with an NF of 1.6 dB while consuming 8.4 mW from a 1.2-V supply.</t>
  </si>
  <si>
    <t>An SiGe HBT low-noise amplifier (LNA) with a novel diode/resistor dual base bias-feed circuit is described. The dual bias-feed circuit extends P1 dB without degradation of the noise figure (NF). In the small-signal region, a conventional resistor bias-feed circuit is a dominant base current source and, in the large-signal region, the diode turns on and the diode bias-feed circuit supplies the base current like a voltage source, which allows higher output power and linearity. In this paper, the operation principle of the dual bias-feed circuit is explained by using a virtual current source model, which indicates the increase of base current of the HBT in a large-signal region. The design method is also described for the idle current of the diode bias-feed circuit in a small-signal region from the points-of-view of NF and P1 dB. The effectiveness of the dual bias-feed circuit is evaluated by simulation and measurement. The fabricated 2-GHz-band dual bias-feed LNA has the P1 dB improvement of 5 dB and no degradation NF compared with the conventional resistor bias-feed LNA.</t>
  </si>
  <si>
    <t>This paper proposes a new RF circuit configuration: the Bipolar cascoded with a mosFET (BiFET). Applying the BiFET for low-noise amplifiers (LNAs), we have developed a new BiFET based design methodology. By using this methodology, a BiFET LNA has been designed based on Jazz Semiconductor Inc.’s SiGe90 BiCMOS process. The packaged chip tested on board has demonstrated a 16-dB power-gain 1.6-dB noise-figure --6.5-dBm input third intercept point while consuming only 3 mW (2.2 V * 1.4 mA) in the personal communication system (PCS) band. To our knowledge, this is the lowest current silicon-based LNA reported to date that maintains good PCS band performance.</t>
  </si>
  <si>
    <t>A low-noise amplifier (LNA) implemented in a low-cost Si-BiCMOS 0.8 um process is presented. It utilizes current conveyors as building blocks. The principle and design methodology are presented, followed by results obtained from simulations. A brief technology and measurement technique description is then made, leading up to the measurement results obtained. The performance is compared with some other LNA realizations. The potentialities of the LNA are finally touched upon, with particular regard to future communications systems. The gain of the LNA is controllable, in the range of 0–20 dB, by varying the dc bias current. Negative decibel gains can also be obtained, making it an attenuator circuit. Using a +-1.5 V supply, and at a measured gain of 14 dB, the LNA has measured -3 dB bandwidth of dc to 1.9 GHz, ZIN = 50 , S11 = 21 dB, and a simulated noise figure = 3.3 dB, input P1dB = -33 dBm, and consumes only 3.8 mA. A judicious tradeoff between the decibel gain and bandwidth yields -3 dB bandwidths of up to 5.5 GHz, while in the -10-dB cutoff specified for ultra-wide-band (UWB) systems, passbands greater than 10 GHz are enabled. The LNA occupies 0.24 mm^2 of chip area, including pads. The prospective applications range from current global system for mobile communications, code division multiple access, and multiband systems, to the upcoming UWB.</t>
  </si>
  <si>
    <t>This paper reviews and analyzes two reported image-rejection (IR) low-noise amplifier (LNA) design techniques based on CMOS technology, i.e., the second-order active notch filer and third-order passive notch filter. The analyses and discussions are based on the quality factor of filters and the ability of the frequency control. As the solution to deal with the suitable on-chip filter, this paper proposes a new notch-filter topology that can overcome the limitations of the two previous reported studies. In addition, the LNA design method satisfying the power-cons-trained simultaneous noise and input matching, as well as the linearity optimization conditions is introduced. By using the proposed notch filter and proposed design methodology, an IR LNA used in the superheterodyne architecture is implemented. The proposed IR LNA, designed based on      0.18 um  CMOS technology with total current dissipation of 4 mA under 3-V supply voltage, is optimized for a 5.25-GHz wireless local area network with IF frequency of 500-MHz applications. The measurement results show 20.5-dB power gain, lower than 1.5-dB noise figure, -5-dBm input-referred third-order intercept point and an IR of 26 dB.</t>
  </si>
  <si>
    <t>Distortion in RF CMOS short-channel low-noise amplifiers</t>
  </si>
  <si>
    <t>R.A. Baki, T.K.K. Tsang, M.N. El-Gamal</t>
  </si>
  <si>
    <t>An approach to estimate the distortion in CMOS short-channel (e.g. 0.18-/spl mu/m gate length) RF low-noise amplifiers (LNAs), based on Volterra's series, is presented. Compact and accurate frequency-dependent closed-form expressions describing the effects of the different transistor parameters on harmonic distortion are derived. For the first time, the second-order distortion (HD2), in CMOS short-channel based LNAs, is studied. This is crucial for systems such as homodyne receivers. Equations describing third-order intermodulation distortion in RF LNAs are reported. The analytical analysis is verified through simulations and measured results of an 0.18-/spl mu/m CMOS 5.8-GHz folded-cascode LNA prototype chip geared toward sub-1-V operation. It is shown that the distortion is independent of the gate-source capacitance C/sub gs/ of the MOS transistors, allowing an extra degree of freedom in the design of LNA circuits. Distortion-aware design guidelines for RF CMOS LNAs are provided throughout the paper.</t>
  </si>
  <si>
    <t>*(This paper has two differnet versions of a LNA design)</t>
  </si>
  <si>
    <t>Analysis and design of an ultra-wideband low-noise amplifier using resistive feedback in SiGe HBT technology</t>
  </si>
  <si>
    <t>Jongsoo Lee, J.D. Cressler</t>
  </si>
  <si>
    <t>We present the analysis and design of an inductorless wide-band SiGe heterojunction bipolar transistor low-noise amplifier (LNA) using a resistive feedback scheme for application in ultra-wideband systems. Multiple feedback loops enable sufficient gain and low noise figure, and is competitive with conventional narrow-band cascode LNAs using an emitter degeneration inductor. Measurement results show 20-dB gain with 1-dB variation over 3-10 GHz, and a matched input and output with less than -10-dB reflection. The minimum noise figure is 3.05 dB at 3 GHz and increases to 4.5 dB at 10 GHz. For the analysis and design of such wide-band amplifiers, analytical expressions describing the basic performance tradeoffs are derived and verified with simulation and measurements. General design procedures are also given in this paper in order to better understand the roles of the various critical components in the amplifier.</t>
  </si>
  <si>
    <t>A noise optimization formulation for CMOS low-noise amplifiers with on-chip low-Q inductors</t>
  </si>
  <si>
    <t>Kuo-Jung Sun, Zuo-Min Tsai, K.-Y. Lin, Huei Wang</t>
  </si>
  <si>
    <t>A noise optimization formulation for a CMOS low-noise amplifier (LNA) with on-chip low-Q inductors is presented, which incorporates the series resistances of the on-chip low-Q inductors into the noise optimization procedure explicitly. A 10-GHz LNA is designed and implemented in a standard mixed-signal/RF bulk 0.18-/spl mu/m CMOS technology based on this formulation. The measurement results, with a power gain of 11.25 dB and a noise figure (NF) of 2.9 dB, show the lowest NF among the LNAs using bulk 0.18-/spl mu/m CMOS at this frequency.</t>
  </si>
  <si>
    <t>https://ieeexplore.ieee.org/stamp/stamp.jsp?tp=&amp;arnumber=1618575</t>
  </si>
  <si>
    <t>The analysis of UWB SiGe HBT LNA for its noise, linearity, and minimum group delay variation</t>
  </si>
  <si>
    <t>Yunseo Park, Chang-Ho Lee, J.D. Cressler, J. Laskar</t>
  </si>
  <si>
    <t>The design of ultra-wideband (UWB) low-noise amplifiers (LNAs) require additional circuit design principles, which differ from those used in conventional LNAs. The design of a low-dc-power-consumption SiGe HBT LNA covering the 2-10-GHz range is demonstrated for UWB applications. Important design factors that must be carefully considered for UWB applications are analyzed, which include power dissipation, operating bandwidth, noise figure, group delay variation, and linearity. The dominant factor for low group delay variation in UWB LNAs is identified through the theoretical analysis. The linearity behavior over the wide bandwidth is analyzed and explained using the Volterra series. Second-harmonic cancellation is determined to be the dominant degradation factor for linearity. The implemented SiGe LNA achieves a gain of 13 dB, a minimum noise figure of 3.3 dB, and an input third-order intercept point of -7.5 dBm between 2-10 GHz while consuming a dc power of only 9.6 mW. This SiGe UWB LNA exhibits less than 22 ps of uniform group delay variation over the entire band.</t>
  </si>
  <si>
    <t>A 6.5-kV ESD-protected 3-5-GHz ultra-wideband BiCMOS low-noise amplifier using interstage gain roll-off compensation</t>
  </si>
  <si>
    <r>
      <rPr>
        <sz val="11"/>
        <rFont val="Calibri"/>
        <family val="2"/>
        <scheme val="minor"/>
      </rPr>
      <t>Mingxu Liu, J. Craninckx, N.M. Iyer, M. Kuijk, A.R.F. Barel</t>
    </r>
  </si>
  <si>
    <t>Design and validation of an electrostatic discharge (ESD)-protected ultra-wideband low-noise amplifier (LNA) is presented in this paper. It features an interstage matching network for gain roll-off compensation to achieve a flat gain over its passband. Evaluated with a chip-on-board approach, the amplifier demonstrates a gain of 11.8 /spl plusmn/ 0.3 dB, minimum noise figure of 2.1 dB, and a group delay variation of /spl plusmn/30 ps from 3 to 5 GHz, even though it uses a less advanced 0.35-/spl mu/m BiCMOS technology. The LNA is protected against human body model ESD stress up to 6.5 kV. The measured input third-order intercept point at 4.5 GHz is -5.5 dBm. The core LNA draws 3 mA from a 3-V supply.</t>
  </si>
  <si>
    <t>A dual-b and RF front-end of direct conversion receiver for wireless CDMA cellular phones with GPS capability</t>
  </si>
  <si>
    <t>Woonyun Kim, Jinhyuck Yu, Heeseon Shin, et.al</t>
  </si>
  <si>
    <t>A highly integrated direct conversion receiver for cellular code division multiple access (CDMA) and GPS applications is successfully developed using a 0.5-/spl mu/m SiGe BiCMOS technology. The receiver consists of two low-noise amplifiers (LNAs), a dual-band mixer, two voltage-controlled oscillators (VCOs), a local-oscillator signal generation block, and channel filters. The CDMA LNA achieves a noise figure of 1.3 dB, an input-referred third-order intercept point (IIP3) of 10.9 dBm, and a gain of 15.3 dB with a current consumption of 9.8 mA in the high-gain mode. The mixer for the CDMA mode achieves an uncalibrated input-referred second-order intercept point of 53.7 dBm, an IIP3 of 6.4 dBm, a noise figure of 7.2 dB and a voltage gain of 37.2 dB. The phase noise of the CDMA VCO is approximately -133 dBc/Hz at a 900-kHz offset from a 1.762-GHz operating frequency. It exceeds all the CDMA requirements when tested on a handset.</t>
  </si>
  <si>
    <t>InAs/AlSb HEMT and Its Application to Ultra-Low-Power Wideband High-Gain Low-Noise Amplifiers</t>
  </si>
  <si>
    <t>Bob Yintat Ma, Joshua Bergman, Peter Chen, et.al</t>
  </si>
  <si>
    <t>Two antimonide-based compound semiconductor (ABCS) microstrip monolithic microwave integrated circuits (MMICs), i.e., single- and three-stage ultra-low-power wideband 0.3-11-GHz low-noise amplifiers (LNAs) using 0.1-mum gate-length InAs/AlSb metamorphic high electron-mobility transistors (HEMTs), have been fabricated and characterized on a GaAs substrate. The single-stage wideband LNA demonstrated a typical associated gain of 16 dB (0.3-11 GHz) with less than a 1.7-dB noise figure (2-11 GHz) at 5-mW dc power dissipation, and the three-stage wideband LNA demonstrated a typical associated gain of 30 dB (0.3-11 GHz) with less than a 2.6-dB noise figure (2-11 GHz) at 7.5-mW dc power dissipation. We believe these wideband LNA MMICs demonstrate the lowest dc power consumption with the highest gain-bandwidth product of any MMIC to date. These results demonstrate the outstanding potential of ABCS HEMT technology for ultra-low-power wideband applications</t>
  </si>
  <si>
    <t>https://ieeexplore.ieee.org/stamp/stamp.jsp?tp=&amp;arnumber=4020468&amp;tag=1</t>
  </si>
  <si>
    <t>Very Compact High-Gain Broadband Low-Noise Amplifier in InP HEMT Technology</t>
  </si>
  <si>
    <t>Satoshi Masuda, Toshihiro Ohki, Tatsuya Hirose</t>
  </si>
  <si>
    <r>
      <t>This paper presents the practical design methodology of an InP high electron-mobility transistor broadband low-noise amplifier (LNA) using multilayer transmission lines. The LNA consists of high-pass reactive matching circuits and resistive-feedback circuits in order to achieve both low-noise and broadband characteristics. The fabricated five-stage LNA successfully delivered a 43-dB gain with a noise figure of 1.9 dB at 23 GHz, and a gain of more than 40 dB from 18 to 43 GHz. The maximum gain was 49.5 dB at 32 GHz and the chip size was only 1.8 times 0.9 mm</t>
    </r>
    <r>
      <rPr>
        <sz val="8"/>
        <color rgb="FF333333"/>
        <rFont val="Calibri"/>
        <family val="2"/>
        <scheme val="minor"/>
      </rPr>
      <t>2</t>
    </r>
    <r>
      <rPr>
        <sz val="11"/>
        <color rgb="FF333333"/>
        <rFont val="Calibri"/>
        <family val="2"/>
        <scheme val="minor"/>
      </rPr>
      <t>, resulting in a gain density of 30.5 dB/mm </t>
    </r>
    <r>
      <rPr>
        <sz val="8"/>
        <color rgb="FF333333"/>
        <rFont val="Calibri"/>
        <family val="2"/>
        <scheme val="minor"/>
      </rPr>
      <t>2</t>
    </r>
    <r>
      <rPr>
        <sz val="11"/>
        <color rgb="FF333333"/>
        <rFont val="Calibri"/>
        <family val="2"/>
        <scheme val="minor"/>
      </rPr>
      <t>. To the best of our knowledge, this gain density is the highest performance in any Ka-band LNA reported to date. In addition, a more compact LNA using spiral inductors was also demonstrated</t>
    </r>
  </si>
  <si>
    <t>https://ieeexplore.ieee.org/stamp/stamp.jsp?tp=&amp;arnumber=4020475</t>
  </si>
  <si>
    <t>RF Chipset for Impulse UWB Radar Using 0.13-μm InP-HEMT Technology</t>
  </si>
  <si>
    <t>Yoichi Kawano, Yashuhiro Nakasha, Kaoru Yokuu, et.al</t>
  </si>
  <si>
    <t>A novel ultra-wideband impulse radar architecture for 24-GHz-band short-range radar was developed using 0.13-mum InP high electron-mobility technology. The transmitter part generates an extremely wideband impulse from a pulse generator and then filters it through a bandpass filter. The obtained impulse had a full width at half maximum of 9 ps. Its frequency spectrum spread from dc to over 40 GHz and achieved sufficient flatness in the target band. The power amplifier (PA) for the transmitter had a gain of 15 plusmn0.1 dB, and the low-noise amplifier (LNA) for the receiver had a gain of 40 plusmn1 dB and a minimum noise figure of 1.9 dB. The achieved flatness of integration gain including the PA, LNA, and RF switch was less than plusmn1.2 dB. These RF circuits with gain flatness make a simple matched filter configuration possible without the use of a conventional correlator composed of a local oscillator. An ultra high-speed sample and hold circuit having an ultra-long hold time of more than 3 ns was also developed to detect the output pulses from the matched filter</t>
  </si>
  <si>
    <t>https://ieeexplore.ieee.org/stamp/stamp.jsp?tp=&amp;arnumber=4020458</t>
  </si>
  <si>
    <t>Analysis of the Survivability of GaN Low-Noise Amplifiers</t>
  </si>
  <si>
    <t>Matthias Rudolph, Reza Behtash, Ralf Doerner, et.al</t>
  </si>
  <si>
    <t>This paper presents a detailed analysis of the stressing mechanisms for highly rugged low-noise GaN monolithic-microwave integrated-circuit amplifiers operated at extremely high input powers. As an example, a low-noise amplifier (LNA) operating in the 3-7-GHz frequency band is used. A noise figure (NF) below 2.3 dB is measured from 3.5 to 7 GHz with NF&lt;1.8 dB between 5-7 GHz. This device survived 33 dBm of available RF input power for 16 h without any change in low-noise performance. The stress mechanisms at high input powers are identified by systematic measurements of an LNA and a single high electron-mobility transistor in the frequency and time domains. It is shown that the gate dc current, which occurs due to self-biasing, is the most critical factor regarding survivability. A series resistance in the gate dc feed can reduce this gate current by feedback, and may be used to improve LNA ruggedness</t>
  </si>
  <si>
    <t>https://ieeexplore.ieee.org/stamp/stamp.jsp?tp=&amp;arnumber=4061062</t>
  </si>
  <si>
    <t>Design of Ultra-Low-Voltage RF Frontends With Complementary Current-Reused Architectures</t>
  </si>
  <si>
    <t>Hsieh-Hung Hsieh, Liang-Hung Lu</t>
  </si>
  <si>
    <r>
      <t>In this paper, ultra-low-voltage circuit techniques are presented for CMOS RF frontends. By employing a complementary current-reused architecture, the RF building blocks including a low-noise amplifier (LNA) and a single-balanced down-conversion mixer can operate at a reduced supply voltage with microwatt power consumption while maintaining reasonable circuit performance at multigigahertz frequencies. Based on the MOSFET model in moderate and weak inversion, theoretical analysis and design considerations of the proposed circuit techniques are described in detail. Using a standard 0.18-mum CMOS process, prototype frontend circuits are implemented at the 5-GHz frequency band for demonstration. From the measurement results, the fully integrated LNA exhibits a gain of 9.2 dB and a noise figure of 4.5 dB at 5 GHz, while the mixer has a conversion gain of 3.2 dB and an IIP</t>
    </r>
    <r>
      <rPr>
        <sz val="8"/>
        <color rgb="FF333333"/>
        <rFont val="Calibri"/>
        <family val="2"/>
        <scheme val="minor"/>
      </rPr>
      <t>3</t>
    </r>
    <r>
      <rPr>
        <sz val="11"/>
        <color rgb="FF333333"/>
        <rFont val="Calibri"/>
        <family val="2"/>
        <scheme val="minor"/>
      </rPr>
      <t> of -8 dBm. Operated at a supply voltage of 0.6 V, the power consumptions of the LNA and the mixer are 900 and 792 muW, respectively.</t>
    </r>
  </si>
  <si>
    <t>https://ieeexplore.ieee.org/stamp/stamp.jsp?tp=&amp;arnumber=4268430</t>
  </si>
  <si>
    <t>3–10-GHz Ultra-Wideband Low-Noise Amplifier Utilizing Miller Effect and Inductive Shunt–Shunt Feedback Technique</t>
  </si>
  <si>
    <r>
      <t>In this paper, we demonstrate an SiGe HBT ultra-wideband (UWB) low-noise amplifier (LNA), achieved by a newly proposed methodology, which takes advantage of the Miller effect for UWB input impedance matching and the inductive shunt-shunt feedback technique for bandwidth extension by pole-zero cancellation. The SiGe UWB LNA dissipates 25.8-mW power and achieves S </t>
    </r>
    <r>
      <rPr>
        <sz val="8"/>
        <color rgb="FF333333"/>
        <rFont val="Calibri"/>
        <family val="2"/>
        <scheme val="minor"/>
      </rPr>
      <t>11</t>
    </r>
    <r>
      <rPr>
        <sz val="11"/>
        <color rgb="FF333333"/>
        <rFont val="Calibri"/>
        <family val="2"/>
        <scheme val="minor"/>
      </rPr>
      <t> below -10 dB for frequencies from 3 to 14 GHz (except for a small range from 10 to 11 GHz, which is below -9 dB), flat S </t>
    </r>
    <r>
      <rPr>
        <sz val="8"/>
        <color rgb="FF333333"/>
        <rFont val="Calibri"/>
        <family val="2"/>
        <scheme val="minor"/>
      </rPr>
      <t>21</t>
    </r>
    <r>
      <rPr>
        <sz val="11"/>
        <color rgb="FF333333"/>
        <rFont val="Calibri"/>
        <family val="2"/>
        <scheme val="minor"/>
      </rPr>
      <t> of 24.6 plusmn 1.5 dB for frequencies from 3 to 11.6 GHz, noise figure of 2.5 and 5.8 dB at 3 and 10 GHz, respectively, and good phase linearity property (group-delay variation is only plusmn28 ps across the entire band). The measured 1-dB compression point (P </t>
    </r>
    <r>
      <rPr>
        <sz val="8"/>
        <color rgb="FF333333"/>
        <rFont val="Calibri"/>
        <family val="2"/>
        <scheme val="minor"/>
      </rPr>
      <t>1</t>
    </r>
    <r>
      <rPr>
        <sz val="11"/>
        <color rgb="FF333333"/>
        <rFont val="Calibri"/>
        <family val="2"/>
        <scheme val="minor"/>
      </rPr>
      <t> dB) and input third-order intermodulation point are -25.5 and -17 dBm, respectively, at 5.4 GHz.</t>
    </r>
  </si>
  <si>
    <t>https://ieeexplore.ieee.org/stamp/stamp.jsp?tp=&amp;arnumber=4298222</t>
  </si>
  <si>
    <t>A 1.5-V 2–9.6-GHz Inductorless Low-Noise Amplifier in 0.13-μmCMOS</t>
  </si>
  <si>
    <t>Qiang Li, Yue Ping Zhang</t>
  </si>
  <si>
    <r>
      <t>This paper presents an inductorless low-noise amplifier (LNA) design for an ultra-wideband (UWB) receiver front-end. A current-reuse gain-enhanced noise canceling architecture is proposed, and the properties and limitations of the gain-enhancement stage are discussed. Capacitive peaking is employed to improve the gain flatness and -3-dB bandwidth, at the cost of absolute gain value. The LNA circuit is fabricated in a 0.13-mum triple-well CMOS technology. Measurement result shows that a small-signal gain of 11 dB and a -3-dB bandwidth of 2-9.6 GHz are obtained. Over the -3-dB bandwidth, the input return loss is less than -8.3 dB, and the noise figure is 3.6-4.8 dB. The LNA consumes 19 mW from a low supply voltage of 1.5 V. It is shown that the LNA designed without on-chip inductors achieves comparable performances with inductor-based designs. The silicon area is reduced significantly in the inductorless design, the LNA core occupies only 0.05 mm </t>
    </r>
    <r>
      <rPr>
        <sz val="8"/>
        <color rgb="FF333333"/>
        <rFont val="Calibri"/>
        <family val="2"/>
        <scheme val="minor"/>
      </rPr>
      <t>2</t>
    </r>
    <r>
      <rPr>
        <sz val="11"/>
        <color rgb="FF333333"/>
        <rFont val="Calibri"/>
        <family val="2"/>
        <scheme val="minor"/>
      </rPr>
      <t> , which is among the smallest reported designs.</t>
    </r>
  </si>
  <si>
    <t>https://ieeexplore.ieee.org/stamp/stamp.jsp?tp=&amp;arnumber=4339618</t>
  </si>
  <si>
    <t>A 2.4-GHz Fully Integrated ESD-Protected Low-Noise Amplifier in 130-nm PD SOI CMOS Technology</t>
  </si>
  <si>
    <r>
      <t>This paper reviews and analyzes a fully integrated electrostatic discharge (ESD)-protected low-noise amplifier (LNA) for low-power and narrowband applications using a cascode inductive source degeneration topology, designed and fabricated in 130-nm CMOS silicon-on-insulator technology. The designed LNA shows 13-dB power gain at 2.4 GHz with a noise figure of 3.6 dB and input return loss of -13 dB for power consumption of 6.5 mW. An on-chip "plug-and-play" ESD protection strategy based on diodes and a power clamp is used at the input and output of the LNA, and has an ESD protection level up to 0.8-, 0.9-, and 1.4-A transmission line pulse current. This corresponds to 1.2-, 1.4-, and 2-kV human body model stress applied at, respectively, the RF input, RF output, and V</t>
    </r>
    <r>
      <rPr>
        <sz val="8"/>
        <color rgb="FF333333"/>
        <rFont val="Calibri"/>
        <family val="2"/>
        <scheme val="minor"/>
      </rPr>
      <t>DD</t>
    </r>
    <r>
      <rPr>
        <sz val="11"/>
        <color rgb="FF333333"/>
        <rFont val="Calibri"/>
        <family val="2"/>
        <scheme val="minor"/>
      </rPr>
      <t>bus. Measurement shows a minor RF performance degradation by adding the protection diodes.</t>
    </r>
  </si>
  <si>
    <t>https://ieeexplore.ieee.org/stamp/stamp.jsp?tp=&amp;arnumber=4378297</t>
  </si>
  <si>
    <t>A Subthreshold Low-Noise Amplifier Optimized for Ultra-Low-Power Applications in the ISM Band</t>
  </si>
  <si>
    <t>Aaron V. Do, Chirn Chye Boon, Manh Anh Do, et.al</t>
  </si>
  <si>
    <r>
      <t>The IEEE 802.15.4 standard relaxes the requirements on the receiver front-end making subthreshold operation a viable solution. The specification is discussed and guidelines are presented for a small area ultra-low-power design. A subthreshold biased low-noise amplifier (LNA) has been designed and fabricated for the 2.4-GHz IEEE 802.15.4 standard using a standard low-cost 0.18-mum RF CMOS process. The single-stage LNA saves on chip area by using only one inductor. The measured gain is more than 20 dB with an S</t>
    </r>
    <r>
      <rPr>
        <sz val="8"/>
        <color rgb="FF333333"/>
        <rFont val="Calibri"/>
        <family val="2"/>
        <scheme val="minor"/>
      </rPr>
      <t>11</t>
    </r>
    <r>
      <rPr>
        <sz val="11"/>
        <color rgb="FF333333"/>
        <rFont val="Calibri"/>
        <family val="2"/>
        <scheme val="minor"/>
      </rPr>
      <t> of -19 dB while using 630 muA of dc current. The measured noise figure is 5.2 dB.</t>
    </r>
  </si>
  <si>
    <t>https://ieeexplore.ieee.org/stamp/stamp.jsp?tp=&amp;arnumber=4427247</t>
  </si>
  <si>
    <t>Resistive-Feedback CMOS Low-Noise Amplifiers for Multiband Applications</t>
  </si>
  <si>
    <r>
      <t>Extremely compact resistive-feedback CMOS low-noise amplifiers (LNAs) are presented as a cost-effective alternative to multiple narrowband LNAs using high-</t>
    </r>
    <r>
      <rPr>
        <i/>
        <sz val="11"/>
        <color rgb="FF333333"/>
        <rFont val="Calibri"/>
        <family val="2"/>
        <scheme val="minor"/>
      </rPr>
      <t>Q</t>
    </r>
    <r>
      <rPr>
        <sz val="11"/>
        <color rgb="FF333333"/>
        <rFont val="Calibri"/>
        <family val="2"/>
        <scheme val="minor"/>
      </rPr>
      <t> inductors for multiband wireless applications. Limited linearity and high power consumption of the inductorless resistive-feedback LNAs are analyzed and circuit techniques are proposed to solve these issues. A 12-mW resistive-feedback LNA, based on current-reuse transconductance boosting is presented with a gain of 21 dB and a noise figure (NF) of 2.6 dB at 5 GHz. The LNA achieves an output third-order intercept point (IP3) of 12.3 dBm at 5 GHz by reducing loop-gain rolloff and by improving linearity of individual stages. The active die area of the LNA is only 0.012 mm</t>
    </r>
    <r>
      <rPr>
        <sz val="8"/>
        <color rgb="FF333333"/>
        <rFont val="Calibri"/>
        <family val="2"/>
        <scheme val="minor"/>
      </rPr>
      <t>2</t>
    </r>
    <r>
      <rPr>
        <sz val="11"/>
        <color rgb="FF333333"/>
        <rFont val="Calibri"/>
        <family val="2"/>
        <scheme val="minor"/>
      </rPr>
      <t>. A 9.2-mW tuned resistive-feedback LNA utilizing a single compact low-</t>
    </r>
    <r>
      <rPr>
        <i/>
        <sz val="11"/>
        <color rgb="FF333333"/>
        <rFont val="Calibri"/>
        <family val="2"/>
        <scheme val="minor"/>
      </rPr>
      <t>Q</t>
    </r>
    <r>
      <rPr>
        <sz val="11"/>
        <color rgb="FF333333"/>
        <rFont val="Calibri"/>
        <family val="2"/>
        <scheme val="minor"/>
      </rPr>
      <t> on-chip inductor is presented, showing an improved tradeoff between performance, power consumption, and die area. At 5.5 GHz, the fully integrated LNA achieves a measured gain of 24 dB, an NF of 2 dB, and an output IP3 of 21.5 dBm. The LNA draws 7.7 mA from the 1.2-V supply and has a 3-dB bandwidth of 3.94 GHz (4.04-7.98 GHz). The LNA occupies a die area of 0.022 mm</t>
    </r>
    <r>
      <rPr>
        <sz val="8"/>
        <color rgb="FF333333"/>
        <rFont val="Calibri"/>
        <family val="2"/>
        <scheme val="minor"/>
      </rPr>
      <t>2</t>
    </r>
    <r>
      <rPr>
        <sz val="11"/>
        <color rgb="FF333333"/>
        <rFont val="Calibri"/>
        <family val="2"/>
        <scheme val="minor"/>
      </rPr>
      <t>. Both LNAs are implemented in a 90-nm CMOS process and do not require any costly RF enhancement options.</t>
    </r>
  </si>
  <si>
    <t>https://ieeexplore.ieee.org/stamp/stamp.jsp?tp=&amp;arnumber=4479883</t>
  </si>
  <si>
    <t>https://ieeexplore.ieee.org/stamp/stamp.jsp?tp=&amp;arnumber=4560051</t>
  </si>
  <si>
    <t>ESD-Protected Wideband CMOS LNAs Using Modified Resistive Feedback Techniques With Chip-on-Board Packaging</t>
  </si>
  <si>
    <t>Tienyu Chang, Jinghong Chen, Lawrence A. Rigge, Jenshan Lin</t>
  </si>
  <si>
    <r>
      <t>A novel modified resistive feedback structure for designing wideband low-noise amplifiers (LNAs) is proposed and demonstrated in this paper. Techniques including feedback through a source follower, an </t>
    </r>
    <r>
      <rPr>
        <i/>
        <sz val="11"/>
        <color rgb="FF333333"/>
        <rFont val="Calibri"/>
        <family val="2"/>
        <scheme val="minor"/>
      </rPr>
      <t>R-C</t>
    </r>
    <r>
      <rPr>
        <sz val="11"/>
        <color rgb="FF333333"/>
        <rFont val="Calibri"/>
        <family val="2"/>
        <scheme val="minor"/>
      </rPr>
      <t> feedback network, a gate peaking inductor inside the feedback loop, and neutralization capacitors are used. Bond-wire inductors and electrostatic devices (ESDs) are co-designed to improve the chip performance. Two LNAs, LNA1 and LNA2, were fabricated using a TSMC digital 90-nm CMOS technology. Both chips were tested on board using chip-on-board packages with ESD diodes added at the inputs and outputs. LNA1 achieves a 3-dB bandwidth of 9 GHz with 10 dB of power gain and a minimum noise figure (NF) of 4.2 dB. LNA2 achieves a 3-dB bandwidth of 3.2 GHz with 15.5 dB of power gain and a minimum NF of 1.76 dB. The two LNAs have third-order intermodulation intercept points of 8 and 9 dBm. Their power consumptions are 20 and 25 mW with a 1.2-V supply, respectively.</t>
    </r>
  </si>
  <si>
    <t>https://ieeexplore.ieee.org/stamp/stamp.jsp?tp=&amp;arnumber=4560043</t>
  </si>
  <si>
    <t>Gain-Enhancement Techniques for CMOS Folded Cascode LNAs at Low-Voltage Operations</t>
  </si>
  <si>
    <t>Hsieh-Hung Hsieh, Jih-Hsin Wang, Liang-Hung Lu</t>
  </si>
  <si>
    <r>
      <t>In this paper, gain-enhancement techniques suitable for folded cascode low-noise amplifiers (LNAs) at low-voltage operations are presented. By employing a forward bias and a capacitive divider at the body of the MOSFETs, the LNA circuit can operate at a reduced supply voltage while maintaining an enhanced gain due to suppression of the negative impact of the body transconductance. In addition, G</t>
    </r>
    <r>
      <rPr>
        <sz val="8"/>
        <color rgb="FF333333"/>
        <rFont val="Calibri"/>
        <family val="2"/>
        <scheme val="minor"/>
      </rPr>
      <t>m</t>
    </r>
    <r>
      <rPr>
        <sz val="11"/>
        <color rgb="FF333333"/>
        <rFont val="Calibri"/>
        <family val="2"/>
        <scheme val="minor"/>
      </rPr>
      <t>-boosting stage is introduced to further increase the LNA gain at the cost of circuit linearity. Using a standard 0.18-mum CMOS process, two folded cascode LNAs are demonstrated at the 5-GHz band based on the proposed topologies. Consuming a dc power of 1.08 mW from a 0.6-V supply voltage, the LNA with the forward-body-bias technique demonstrates a gain of 10.0 dB and a noise figure of 3.37 dB. The measured P</t>
    </r>
    <r>
      <rPr>
        <sz val="8"/>
        <color rgb="FF333333"/>
        <rFont val="Calibri"/>
        <family val="2"/>
        <scheme val="minor"/>
      </rPr>
      <t>in</t>
    </r>
    <r>
      <rPr>
        <sz val="11"/>
        <color rgb="FF333333"/>
        <rFont val="Calibri"/>
        <family val="2"/>
        <scheme val="minor"/>
      </rPr>
      <t> </t>
    </r>
    <r>
      <rPr>
        <sz val="8"/>
        <color rgb="FF333333"/>
        <rFont val="Calibri"/>
        <family val="2"/>
        <scheme val="minor"/>
      </rPr>
      <t>-</t>
    </r>
    <r>
      <rPr>
        <sz val="11"/>
        <color rgb="FF333333"/>
        <rFont val="Calibri"/>
        <family val="2"/>
        <scheme val="minor"/>
      </rPr>
      <t> </t>
    </r>
    <r>
      <rPr>
        <sz val="8"/>
        <color rgb="FF333333"/>
        <rFont val="Calibri"/>
        <family val="2"/>
        <scheme val="minor"/>
      </rPr>
      <t>1d</t>
    </r>
    <r>
      <rPr>
        <sz val="11"/>
        <color rgb="FF333333"/>
        <rFont val="Calibri"/>
        <family val="2"/>
        <scheme val="minor"/>
      </rPr>
      <t>B and IIP</t>
    </r>
    <r>
      <rPr>
        <sz val="8"/>
        <color rgb="FF333333"/>
        <rFont val="Calibri"/>
        <family val="2"/>
        <scheme val="minor"/>
      </rPr>
      <t>3</t>
    </r>
    <r>
      <rPr>
        <sz val="11"/>
        <color rgb="FF333333"/>
        <rFont val="Calibri"/>
        <family val="2"/>
        <scheme val="minor"/>
      </rPr>
      <t> are -18 and -8.6 dBm, respectively. For the LNA with G</t>
    </r>
    <r>
      <rPr>
        <sz val="8"/>
        <color rgb="FF333333"/>
        <rFont val="Calibri"/>
        <family val="2"/>
        <scheme val="minor"/>
      </rPr>
      <t>m</t>
    </r>
    <r>
      <rPr>
        <sz val="11"/>
        <color rgb="FF333333"/>
        <rFont val="Calibri"/>
        <family val="2"/>
        <scheme val="minor"/>
      </rPr>
      <t> -boosting feedback, a remarkable gain of 14.1 dB gain is achieved with a dc power of 1.68 mW.</t>
    </r>
  </si>
  <si>
    <t>Toward a Sub-Decibel Noise Figure Broadband Monolithic LNA in Silicon</t>
  </si>
  <si>
    <t>Ankush Goel, Hossein Hashemi</t>
  </si>
  <si>
    <r>
      <t>This paper reports a first attempt toward realization of a single-chip silicon-based broadband (BW</t>
    </r>
    <r>
      <rPr>
        <sz val="8"/>
        <color rgb="FF333333"/>
        <rFont val="Calibri"/>
        <family val="2"/>
        <scheme val="minor"/>
      </rPr>
      <t>-3dB</t>
    </r>
    <r>
      <rPr>
        <sz val="11"/>
        <color rgb="FF333333"/>
        <rFont val="Calibri"/>
        <family val="2"/>
        <scheme val="minor"/>
      </rPr>
      <t>&gt; 5 GHz) low-noise amplifier (LNA) with a noise figure (NF) of less than 1 dB across the band. A differential common-emitter amplifier with active feedback and neutralization capacitance is adopted without using passives at the input that consume chip area and deteriorate NF due to their loss. Design tradeoffs for NF, gain, and bandwidth versus device size, bias current, and process corners are discussed in detail. The circuit was implemented in a 0.13-mum SiGe BiCMOS process with f</t>
    </r>
    <r>
      <rPr>
        <sz val="8"/>
        <color rgb="FF333333"/>
        <rFont val="Calibri"/>
        <family val="2"/>
        <scheme val="minor"/>
      </rPr>
      <t>T</t>
    </r>
    <r>
      <rPr>
        <sz val="11"/>
        <color rgb="FF333333"/>
        <rFont val="Calibri"/>
        <family val="2"/>
        <scheme val="minor"/>
      </rPr>
      <t> = 200 GHz and f</t>
    </r>
    <r>
      <rPr>
        <sz val="8"/>
        <color rgb="FF333333"/>
        <rFont val="Calibri"/>
        <family val="2"/>
        <scheme val="minor"/>
      </rPr>
      <t>max</t>
    </r>
    <r>
      <rPr>
        <sz val="11"/>
        <color rgb="FF333333"/>
        <rFont val="Calibri"/>
        <family val="2"/>
        <scheme val="minor"/>
      </rPr>
      <t> = 244 GHz for an HBT with emitter length of 6 mum and bias current of 7.6 mA. The differential probed measurement of the LNA shows a gain of 27.5 dB with -3-dB bandwidth from 0.5 to 5.5 GHz. The NF varies from 1.35 to 1.85 dB within the band. The chip is also packaged in a high-frequency package with subminiature A connectors for inputs and outputs. The single-ended packaged measurement of the LNA shows a gain of 25.2 dB with -3-dB bandwidth from 0.5 to 6.0 GHz. The NF varies from 1.2 to 1.7 dB within the band. The chip draws 24 mA from a 2-V supply and occupies 0.88 mm times 0.83 mm.</t>
    </r>
  </si>
  <si>
    <t>https://ieeexplore.ieee.org/stamp/stamp.jsp?tp=&amp;arnumber=4657383</t>
  </si>
  <si>
    <t>SiGe Receiver Front Ends for Millimeter-Wave Passive Imaging</t>
  </si>
  <si>
    <t>Johnna Powell, Helen Kim, Charles G. Sodini</t>
  </si>
  <si>
    <r>
      <t>A wideband 77-GHz front-end receiver for passive imaging has been designed and characterized. This system comprises a fully differential low-noise amplifier (LNA), double-balanced mixer, and voltage-controlled oscillator (VCO). The 77-GHz LNA achieves 4.9-6.0-dB noise figure (NF), 18-26-dB gain, and </t>
    </r>
    <r>
      <rPr>
        <i/>
        <sz val="11"/>
        <color rgb="FF333333"/>
        <rFont val="Calibri"/>
        <family val="2"/>
        <scheme val="minor"/>
      </rPr>
      <t>S</t>
    </r>
    <r>
      <rPr>
        <sz val="11"/>
        <color rgb="FF333333"/>
        <rFont val="Calibri"/>
        <family val="2"/>
        <scheme val="minor"/>
      </rPr>
      <t>11 and </t>
    </r>
    <r>
      <rPr>
        <i/>
        <sz val="11"/>
        <color rgb="FF333333"/>
        <rFont val="Calibri"/>
        <family val="2"/>
        <scheme val="minor"/>
      </rPr>
      <t>S</t>
    </r>
    <r>
      <rPr>
        <sz val="11"/>
        <color rgb="FF333333"/>
        <rFont val="Calibri"/>
        <family val="2"/>
        <scheme val="minor"/>
      </rPr>
      <t>22 of - 13.0 and - 12.8 dB, respectively. The double-balanced mixer achieves 12-14-dB NF, 20-26-dB conversion gain, and -26-dBm P1dB (input referred). The VCO achieves output power from - 2 to 0 dBm with phase noise of ~ -93 dBc/Hz at 72 GHz, and can be tuned by approximately 3 GHz. The NF can be substantially improved with the addition of image-reject Chebyshev bandpass filters at the interface between the LNA and mixer. The 77-GHz receiver achieves 40-46-dB max conversion gain, output-referred P1dB of 2 dBm, and power dissipation of 195 mW. A 90-GHz LNA has also been characterized as an integral part of a higher resolution 94-GHz imager. This LNA achieves 22-dB maximum gain, 7.0-dB NF, and - 25- and - 10-dB </t>
    </r>
    <r>
      <rPr>
        <i/>
        <sz val="11"/>
        <color rgb="FF333333"/>
        <rFont val="Calibri"/>
        <family val="2"/>
        <scheme val="minor"/>
      </rPr>
      <t>S</t>
    </r>
    <r>
      <rPr>
        <sz val="11"/>
        <color rgb="FF333333"/>
        <rFont val="Calibri"/>
        <family val="2"/>
        <scheme val="minor"/>
      </rPr>
      <t>11 and </t>
    </r>
    <r>
      <rPr>
        <i/>
        <sz val="11"/>
        <color rgb="FF333333"/>
        <rFont val="Calibri"/>
        <family val="2"/>
        <scheme val="minor"/>
      </rPr>
      <t>S</t>
    </r>
    <r>
      <rPr>
        <sz val="11"/>
        <color rgb="FF333333"/>
        <rFont val="Calibri"/>
        <family val="2"/>
        <scheme val="minor"/>
      </rPr>
      <t>22 , respectively, at 90 GHz. This LNA also exhibits excellent ultra-wideband performance, achieving ges 10-dB gain from 40 to 100 GHz.</t>
    </r>
  </si>
  <si>
    <t>https://ieeexplore.ieee.org/stamp/stamp.jsp?tp=&amp;arnumber=4657396</t>
  </si>
  <si>
    <t>A 2.4–5.4-GHz Wide Tuning-Range CMOS Reconfigurable Low-Noise Amplifier</t>
  </si>
  <si>
    <t>Chang-Tsung Fu, Chun-Lin Ko, Chien-Lin Ko, Chien-Nan Kuo, Ying-Zong Juang</t>
  </si>
  <si>
    <t>A 2.4-5.4-GHz CMOS reconfigurable low-noise amplifier (LNA) is designed. It consists of two stages: a broadband input stage for a steady input matching and noise performance, and a reconfigurable band-selective stage which provides a wide-range frequency tuning from 2.4 to 5.4 GHz and a 12-dB stepped gain with linearity adjustment. The frequency tuning is conducted by a multitapped switching inductor and varactors. Careful design of the switching inductor achieves consistent performance among frequency configurations. The stepped gain and linearity adjustment are provided by a size-switchable transistor with a variable biasing. Fabricated in 0.13 mum CMOS technology this LNA exhibits performance including up to 25 dB power gain, 2.2-3.1 dB noise figure and less than 5 mW power consumption under 1 V power supply.</t>
  </si>
  <si>
    <t>https://ieeexplore.ieee.org/stamp/stamp.jsp?tp=&amp;arnumber=4668461</t>
  </si>
  <si>
    <t>Design and Analysis for a 60-GHz Low-Noise Amplifier With RF ESD Protection</t>
  </si>
  <si>
    <t>Bo-Jr Huang, Chi-Hsueh Wang, Chung-Chun Chen, et.al</t>
  </si>
  <si>
    <t>An RF electrostatic discharge (ESD) protection for millimeter-wave (MMW) regime applied to a 60-GHz low-noise amplifier (LNA) in mixed-signal and RF purpose 0.13-mum CMOS technology is demonstrated in this paper. The measured results show that this chip achieves a small signal gain of 20.4 dB and a noise figure (NF) of 8.7 dB at 60 GHz with 65-mW dc power consumption. Without ESD protection, the LNA exhibits a gain of 20.2 dB and an NF of 7.2 dB at 60 GHz. This ESD protection using an impedance isolation method to minimize the RF performance degradation sustains 6.5-kV voltage level of the human body model on the diode and 1.5 kV on the core circuit, which is much higher than that without ESD protection (&lt; 350 V). To our knowledge, this is the first CMOS LNA with RF ESD protection in the MMW regime and has the highest operation frequency reported to date.</t>
  </si>
  <si>
    <t>Analysis, Design, and X-Band Implementation of a Self-Biased Active Feedback Gm -Boosted Common-Gate CMOS LNA</t>
  </si>
  <si>
    <t>Ibrahim Ramez Chamas, Sanjay Raman</t>
  </si>
  <si>
    <r>
      <t>This paper explores the use of active feedback to boost the transconductance of a common-gate (CG) low-noise amplifier and achieve simultaneous low noise and input power match. Unlike transformer coupled topologies, the CG input stage is dc-coupled to a self-biased common-source feedback amplifier (for g </t>
    </r>
    <r>
      <rPr>
        <sz val="8"/>
        <color rgb="FF333333"/>
        <rFont val="Calibri"/>
        <family val="2"/>
        <scheme val="minor"/>
      </rPr>
      <t>m</t>
    </r>
    <r>
      <rPr>
        <sz val="11"/>
        <color rgb="FF333333"/>
        <rFont val="Calibri"/>
        <family val="2"/>
        <scheme val="minor"/>
      </rPr>
      <t> boosting), thus eliminating the need of external bias circuitry. Noise and intermodulation analysis with and without g </t>
    </r>
    <r>
      <rPr>
        <sz val="8"/>
        <color rgb="FF333333"/>
        <rFont val="Calibri"/>
        <family val="2"/>
        <scheme val="minor"/>
      </rPr>
      <t>m</t>
    </r>
    <r>
      <rPr>
        <sz val="11"/>
        <color rgb="FF333333"/>
        <rFont val="Calibri"/>
        <family val="2"/>
        <scheme val="minor"/>
      </rPr>
      <t> boosting are extensively studied yielding closed-form expressions of the noise figure (NF) and third-order input-referred intercept point (IIP3) that are useful for circuit design and optimization. A 9.6-GHz differential prototype implemented in a 0.18-mum technology using only NMOS transistors, achieves a minimum NF of 4 dB, an IIP3 of -11.3 dBm, a return loss of -17 dB, and a transducer gain of 18 dB while dissipating 10 m (excluding buffer circuit) from a 1.8-V supply voltage. The active chip area is 0.11 mum </t>
    </r>
    <r>
      <rPr>
        <sz val="8"/>
        <color rgb="FF333333"/>
        <rFont val="Calibri"/>
        <family val="2"/>
        <scheme val="minor"/>
      </rPr>
      <t>2</t>
    </r>
    <r>
      <rPr>
        <sz val="11"/>
        <color rgb="FF333333"/>
        <rFont val="Calibri"/>
        <family val="2"/>
        <scheme val="minor"/>
      </rPr>
      <t> .</t>
    </r>
  </si>
  <si>
    <t>https://ieeexplore.ieee.org/stamp/stamp.jsp?tp=&amp;arnumber=4781610</t>
  </si>
  <si>
    <t>A CMOS Low-Noise Amplifier With Reconfigurable Input Matching Network</t>
  </si>
  <si>
    <t>Mohamed El-Nozahi, Edgar Sanchez-Sinencio, Kamran Entesari</t>
  </si>
  <si>
    <t>A reconfigurable low-noise amplifier (LNA) with tunable input matching network is proposed. The tunable input matching network provides continuous tuning of the input resonant circuit. The LNA is implemented using 0.13-mum CMOS technology. The amplifier has a tuning range of 1.9-2.4 GHz with an input return loss better than -13 dB. The LNA has a measured voltage gain of 10-14 dB and a noise figure of 3.2-3.7 dB within the band. The LNA consumes 14 mA from a 1.2-V supply. The detailed analysis of the proposed LNA, including the tuning range and additional noise of the proposed reconfigurable input matching network, is presented. To our knowledge, this is the first architecture that provides continuous tuning of the input matching network.</t>
  </si>
  <si>
    <t>https://ieeexplore.ieee.org/stamp/stamp.jsp?tp=&amp;arnumber=4814541</t>
  </si>
  <si>
    <t>A 5-GHz Differential Low-Noise Amplifier With High Pin-to-Pin ESD Robustness in a 130-nm CMOS Process</t>
  </si>
  <si>
    <t>Yuan-Wen Hsiao, Ming-Dou Ker</t>
  </si>
  <si>
    <t>Two electrostatic discharge (ESD)-protected 5-GHz differential low-noise amplifiers (LNAs) are presented with consideration of pin-to-pin ESD protection. The pin-to-pin ESD issue for differential LNAs is addressed for the first time in the literature. Fabricated in a 130-nm CMOS process, both ESD-protected LNAs consume 10.3 mW under 1.2-V power supply. The first LNA with double-diode ESD protection scheme exhibits the power gain of 17.9 dB and noise figure of 2.43 dB at 5 GHz. Its human-body-model (HBM) and machine-model (MM) ESD levels are 2.5 kV and 200 V, respectively. With the same total parasitic capacitance from ESD protection devices, the second LNA with the proposed double silicon-controlled rectifier (SCR) ESD protection scheme has 6.5-kV HBM and 500-V MM ESD robustness, 17.9-dB power gain, and 2.54-dB noise figure at 5 GHz. The ESD test results have shown that the pin-to-pin ESD test is the most critical ESD-test pin combination for the conventional double-diode ESD protection scheme. With the proposed double-SCR ESD protection scheme, the pin-to-pin ESD robustness can be significantly improved without degrading RF performance. Experimental results have shown that the ESD protection circuit for LNA can be co-designed with the input matching network to simultaneously achieve excellent ESD robustness and RF performance.</t>
  </si>
  <si>
    <t>https://ieeexplore.ieee.org/stamp/stamp.jsp?tp=&amp;arnumber=4814540</t>
  </si>
  <si>
    <t>A 40-GHz Low-Noise Amplifier With a Positive-Feedback Network in 0.18-μm CMOS</t>
  </si>
  <si>
    <r>
      <t>A novel circuit topology for a CMOS millimeter-wave low-noise amplifier (LNA) is presented in this paper. By adopting a positive-feedback network at the common-gate transistor of the input cascode stage, the small-signal gain can be effectively boosted, facilitating circuit operations at the higher frequency bands. In addition, </t>
    </r>
    <r>
      <rPr>
        <i/>
        <sz val="11"/>
        <color rgb="FF333333"/>
        <rFont val="Calibri"/>
        <family val="2"/>
        <scheme val="minor"/>
      </rPr>
      <t>LC</t>
    </r>
    <r>
      <rPr>
        <sz val="11"/>
        <color rgb="FF333333"/>
        <rFont val="Calibri"/>
        <family val="2"/>
        <scheme val="minor"/>
      </rPr>
      <t> ladders are utilized as the inter-stage matching for the cascaded amplifiers such that an enhanced bandwidth can be achieved. Using a standard 0.18-mum CMOS process, the proposed LNA is implemented for demonstration. At the center frequency of 40 GHz, the fabricated circuit exhibits a gain of 15 dB and a noise figure of 7.5 dB, while the return losses are better than 10 dB within the 3-dB bandwidth of 4 GHz. Operated at a 1.8-V supply, the LNA consumes a dc power of 36 mW.</t>
    </r>
  </si>
  <si>
    <t>https://ieeexplore.ieee.org/stamp/stamp.jsp?tp=&amp;arnumber=5161354</t>
  </si>
  <si>
    <t>A 22–29-GHz UWB Pulse-Radar Receiver Front-End in 0.18-μmCMOS</t>
  </si>
  <si>
    <t>Vipul Jain, Sriramkumar Sundararaman, Payam Heydari</t>
  </si>
  <si>
    <r>
      <t>The design of a CMOS 22-29-GHz pulse-radar receiver (RX) front-end for ultra-wideband automotive radar sensors is presented. The chip includes a low-noise amplifier, in-phase/quadrature mixers, a quadrature voltage-controlled oscillator (QVCO), pulse formers, and baseband variable-gain amplifiers. Fabricated in a 0.18-mum CMOS process, the RX front-end chip occupies a die area of 3 mm </t>
    </r>
    <r>
      <rPr>
        <sz val="8"/>
        <color rgb="FF333333"/>
        <rFont val="Calibri"/>
        <family val="2"/>
        <scheme val="minor"/>
      </rPr>
      <t>2</t>
    </r>
    <r>
      <rPr>
        <sz val="11"/>
        <color rgb="FF333333"/>
        <rFont val="Calibri"/>
        <family val="2"/>
        <scheme val="minor"/>
      </rPr>
      <t> . On-wafer measurements show a conversion gain of 35-38.1 dB, a noise figure of 5.5-7.4 dB, and an input return loss less than -14.5 dB in the 22-29-GHz automotive radar band. The phase noise of the constituent QVCO is -107 dBc/Hz at 1-MHz offset from a center frequency of 26.5 GHz. The total dc power dissipation of the RX including output buffers is 131 mW.</t>
    </r>
  </si>
  <si>
    <t>https://ieeexplore.ieee.org/stamp/stamp.jsp?tp=&amp;arnumber=5169899</t>
  </si>
  <si>
    <t>Wen-Lin Chen, Sheng-Fuh Chang, Kun-Ming Chen, et.al</t>
  </si>
  <si>
    <r>
      <t>This paper presents the temperature effect on a </t>
    </r>
    <r>
      <rPr>
        <i/>
        <sz val="11"/>
        <color rgb="FF333333"/>
        <rFont val="Calibri"/>
        <family val="2"/>
        <scheme val="minor"/>
      </rPr>
      <t>Ku</t>
    </r>
    <r>
      <rPr>
        <sz val="11"/>
        <color rgb="FF333333"/>
        <rFont val="Calibri"/>
        <family val="2"/>
        <scheme val="minor"/>
      </rPr>
      <t> -band NMOS common-gate low-noise amplifier (CG-LNA). The temperature characteristics of an NMOS transistor and spiral inductors are obtained over the temperature range from 253 to 393 K. These results show that the optimal bias condition minimizes the transconductance and drain current temperature variations. Based on these results, a current-reused CG-LNA with good temperature performance is designed. At ambient temperatures, the CG-LNA has a measured power gain of 10.3 dB and a noise figure (NF) of 4.3 dB at 15.2 GHz, while consuming 4.5 mA from a 1.3-V power supply. When the temperature varies from 253 to 393 K, the CG-LNA has a power gain variation of 3 dB, NF variation of 2 dB , and dc power consumption variation of 11.9%. This paper is the first to report the temperature effect on </t>
    </r>
    <r>
      <rPr>
        <i/>
        <sz val="11"/>
        <color rgb="FF333333"/>
        <rFont val="Calibri"/>
        <family val="2"/>
        <scheme val="minor"/>
      </rPr>
      <t>Ku</t>
    </r>
    <r>
      <rPr>
        <sz val="11"/>
        <color rgb="FF333333"/>
        <rFont val="Calibri"/>
        <family val="2"/>
        <scheme val="minor"/>
      </rPr>
      <t> -band CG-LNAs.</t>
    </r>
  </si>
  <si>
    <t>https://ieeexplore.ieee.org/stamp/stamp.jsp?tp=&amp;arnumber=5200390</t>
  </si>
  <si>
    <t>Temperature Effect on Ku-Band Current-Reused Common-Gate LNA in 0.13-μm CMOS Technology</t>
  </si>
  <si>
    <t>A CMOS Resistive Feedback Differential Low-Noise Amplifier With Enhanced Loop Gain for Digital TV Tuner Applications</t>
  </si>
  <si>
    <t>Donggu Im, Hong-Teuk Kim, Kwyro Lee</t>
  </si>
  <si>
    <r>
      <t>A resistive feedback differential low-noise amplifier (LNA) with enhanced loop gain is implemented as a part of a digital TV (DTV) tuner using a 0.18-mum CMOS process. A voltage buffer having higher gain, higher linearity, and lower noise figure (NF) than those of the conventional differential source follower (DSF), which is called the differential hybrid voltage buffer (DHVB) in this paper, is designed by combining the common source amplifier and source follower. By adopting the DHVB with optimized performance as a voltage buffer of the conventional resistive feedback differential LNA, the loop gain of the LNA can be increased. This leads to a highly linear resistive feedback LNA with higher gain and lower NF compared to the conventional resistive feedback LNA. For the wide gain range, the proposed LNA includes the variable gain function based on the resistive attenuator employing the T-switch. The measurement results of the proposed LNA exhibit a maximum gain of 16 dB and a gain range of 50 dB. At maximum gain, the LNA shows an average NF of 2.8 dB, a third-order input-referred intercept point of -1 dBm, a second-order input-referred intercept point of 40 dBm, and S11 of under -9 dB in a frequency range from 48 to 860 MHz. The power consumption is 30.6 mW at a 1.8-V power supply and the chip area is 0.25 mm</t>
    </r>
    <r>
      <rPr>
        <sz val="8"/>
        <color rgb="FF333333"/>
        <rFont val="Calibri"/>
        <family val="2"/>
        <scheme val="minor"/>
      </rPr>
      <t>2</t>
    </r>
    <r>
      <rPr>
        <sz val="11"/>
        <color rgb="FF333333"/>
        <rFont val="Calibri"/>
        <family val="2"/>
        <scheme val="minor"/>
      </rPr>
      <t>.</t>
    </r>
  </si>
  <si>
    <t>https://ieeexplore.ieee.org/stamp/stamp.jsp?tp=&amp;arnumber=5280297</t>
  </si>
  <si>
    <t>Millimeter-Wave Low Power and Miniature CMOS Multicascode Low-Noise Amplifiers with Noise Reduction Topology</t>
  </si>
  <si>
    <t>Bo-Jr Huang, Kun-You Lin, Huei Wang</t>
  </si>
  <si>
    <r>
      <t>In this paper, the design and analysis of CMOS multicascode configuration with noise reduction topology are proposed. Two low power and miniature low-noise amplifiers (LNAs) were designed and fabricated for demonstration. One with cascode device was designed at V -band in 65-nm process, and the other with triple-cascode structure was fabricated at Q -band in 0.13-¿ m technology. To minimize the noise figure and maximize the small-signal gain, inductors are designed and placed between transistors of the cascode and triple-cascode configurations. Based on this approach, the Q-band LNA has a gain of 14.3 dB and a noise figure of 3.8 dB at 38 GHz, with a power consumption of 28.8 mW. The V-band LNA presents a gain of 14.4 dB and a noise figure of 4.5 dB at 54.5 GHz, with a power consumption of 10 mW. The chip size of the V- and Q-band LNAs are 0.55 × 0.45 mm</t>
    </r>
    <r>
      <rPr>
        <sz val="8"/>
        <color rgb="FF333333"/>
        <rFont val="Calibri"/>
        <family val="2"/>
        <scheme val="minor"/>
      </rPr>
      <t>2</t>
    </r>
    <r>
      <rPr>
        <sz val="11"/>
        <color rgb="FF333333"/>
        <rFont val="Calibri"/>
        <family val="2"/>
        <scheme val="minor"/>
      </rPr>
      <t> and 0.42 × 0.6 mm</t>
    </r>
    <r>
      <rPr>
        <sz val="8"/>
        <color rgb="FF333333"/>
        <rFont val="Calibri"/>
        <family val="2"/>
        <scheme val="minor"/>
      </rPr>
      <t>2</t>
    </r>
    <r>
      <rPr>
        <sz val="11"/>
        <color rgb="FF333333"/>
        <rFont val="Calibri"/>
        <family val="2"/>
        <scheme val="minor"/>
      </rPr>
      <t>, including all the testing pads. Compared with the conventional cascode LNAs, the proposed cascode LNA shows better noise figure and lower power consumption whereas the triple-cascode LNA features higher gain performance.</t>
    </r>
  </si>
  <si>
    <t>https://ieeexplore.ieee.org/stamp/stamp.jsp?tp=&amp;arnumber=5325679</t>
  </si>
  <si>
    <t>Design and Analysis of Ultra Wideband GaN Dual-Gate HEMT Low-Noise Amplifiers</t>
  </si>
  <si>
    <t>Shih-En Shih, William R. Deal, Derrick M. Yamauchi, et.al</t>
  </si>
  <si>
    <t>In this paper, we present three ultra wide bandwidth low-noise amplifiers (LNAs) using dual-gate AlGaN/GaN HEMT devices. The single-stage, resistive feedback amplifiers target two different frequency bands: two LNAs operate in 0.3-4 GHz and one LNA is in 1.2-18 GHz. All three LNAs are capable of better than 13:1 bandwidth. The first low frequency amplifier uses a microstrip design and achieves 17.7 dB flat gain between 300 MHz-3 GHz, and 1.2 dB minimum noise figure around 1.3 GHz. The second 0.3-4 GHz LNA uses coplanar waveguide transmission lines and demonstrates 18 dB flat gain and 1.5 dB noise figure between 2 and 5 GHz. The high frequency microstrip-type LNA shows an average of 13 dB gain and between 2-3 dB noise figure across the band. The robust LNAs can be operated under various bias voltages while similar gain and noise figure performance are maintained.</t>
  </si>
  <si>
    <t>https://ieeexplore.ieee.org/stamp/stamp.jsp?tp=&amp;arnumber=5325669</t>
  </si>
  <si>
    <t>*(This paper has three differnet versions of a LNA design)</t>
  </si>
  <si>
    <t>Area [mm^2] with testpads</t>
  </si>
  <si>
    <t xml:space="preserve">Area [mm^2] without tespads/active area/not mentioned </t>
  </si>
  <si>
    <t>https://ieeexplore.ieee.org/stamp/stamp.jsp?tp=&amp;arnumber=1618598</t>
  </si>
  <si>
    <t>https://ieeexplore.ieee.org/stamp/stamp.jsp?tp=&amp;arnumber=1629052&amp;tag=2</t>
  </si>
  <si>
    <t>3-D CMOS Circuits Based on Low-Loss Vertical Interconnects on Parylene-N</t>
  </si>
  <si>
    <t>Rosa R. Lahiji, Hasan Sharifi, Linda P. B. Katehi, Saeed Mohammadi</t>
  </si>
  <si>
    <t>Parylene-N is used as a dielectric layer to create ultra low-loss 3-D vertical interconnects and coplanar waveguide (CPW) transmission lines on a CMOS substrate. Insertion loss of 0.013 dB for a 3-D vertical interconnect through a 15-¿ m-thick parylene-N layer and 0.56 dB/mm for a 50-¿ CPW line on the parylene-N layer (compared to 1.85 dB/mm on a standard CMOS substrate) are measured at 40 GHz. L-shaped, U-shaped, and T-junction CPW structures are also fabricated with under passes that eliminate the discontinuities arisen from the slot-line mode and are characterized up to 40 GHz. A 3-D low-noise amplifier using these post-processed structures on a 0.13-¿m CMOS technology is also presented along with the investigation of parasitic effects for accurate simulation of such a 3-D circuit. The 3-D circuit implementation reduces the attenuation per unit length of the transmission lines, while preserving the CMOS chip area (in this specific design) by approximately 25%. The 3-D amplifier measures a gain of 13 dB at 2 GHz with 3-dB bandwidth of 500 MHz, noise figure of 3.3 dB, and output 1-dB compression point of +4.6 dBm. Room-temperature processing, simple fabrication, low-loss performance, and compatibility with the CMOS process make this technology a suitable choice for future 3-D CMOS and BiCMOS monolithic microwave integrated circuit applications that currently suffer from high substrate loss and crosstalk.</t>
  </si>
  <si>
    <t>https://ieeexplore.ieee.org/stamp/stamp.jsp?tp=&amp;arnumber=5340541</t>
  </si>
  <si>
    <t>Analysis and Design of Two Low-Power Ultra-Wideband CMOS Low-Noise Amplifiers With Out-Band Rejection</t>
  </si>
  <si>
    <t>Ching-Piao Liang, Pei-Zong Rao, Tian-Jian Huang, Shyh-Jong Chung</t>
  </si>
  <si>
    <t>Two 3-5-GHz low-power ultra-wideband (UWB) low-noise amplifiers (LNAs) with out-band rejection function using 0.18- ¿m CMOS technology are presented. Due to the Federal Communications Commission's stringent power-emission limitation at the transmitter, the received signal power in the UWB system is smaller than those of the close narrowband interferers such as the IEEE 802.11 a/b/g wireless local area network, and the 1.8-GHz digital cellular service/global system for mobile communications. Therefore, we proposed a wideband input network with out-band rejection capability to suppress the out-band properties for our first UWB LNA. Moreover, a feedback structure and dual-band notch filter with low-power active inductors will further attenuate the out-band interferers without deteriorating the input matching bandwidth in the second UWB LNA. The 55/48/45 dB maximum rejections at 1.8/2.4/5.2 GHz, a power gain of 15 dB, and 3.5-dB minimum noise figure can be measured while consuming a dc power of only 5 mW.</t>
  </si>
  <si>
    <t>https://ieeexplore.ieee.org/stamp/stamp.jsp?tp=&amp;arnumber=5382500</t>
  </si>
  <si>
    <t>Analysis and Design of a CMOS UWB LNA With Dual-RLC-Branch Wideband Input Matching Network</t>
  </si>
  <si>
    <t>https://ieeexplore.ieee.org/stamp/stamp.jsp?tp=&amp;arnumber=5395614</t>
  </si>
  <si>
    <t>Yo-Sheng Lin, Chang-Zhi Chen, Hong-Yu Yang, et.al</t>
  </si>
  <si>
    <r>
      <t>A wideband low-noise amplifier (LNA) based on the current-reused cascade configuration is proposed. The wideband input-impedance matching was achieved by taking advantage of the resistive shunt-shunt feedback in conjunction with a parallel LC load to make the input network equivalent to two parallel RLC-branches, i.e., a second-order wideband bandpass filter. Besides, both the inductive series- and shunt-peaking techniques are used for bandwidth extension. Theoretical analysis shows that both the frequency response of input matching and noise figure (NF) can be described by second-order functions with quality factors as parameters. The CMOS ultra-wideband LNA dissipates 10.34-mW power and achieves </t>
    </r>
    <r>
      <rPr>
        <i/>
        <sz val="11"/>
        <color rgb="FF333333"/>
        <rFont val="Calibri"/>
        <family val="2"/>
        <scheme val="minor"/>
      </rPr>
      <t>S</t>
    </r>
    <r>
      <rPr>
        <sz val="11"/>
        <color rgb="FF333333"/>
        <rFont val="Calibri"/>
        <family val="2"/>
        <scheme val="minor"/>
      </rPr>
      <t> </t>
    </r>
    <r>
      <rPr>
        <sz val="8"/>
        <color rgb="FF333333"/>
        <rFont val="Calibri"/>
        <family val="2"/>
        <scheme val="minor"/>
      </rPr>
      <t>11</t>
    </r>
    <r>
      <rPr>
        <sz val="11"/>
        <color rgb="FF333333"/>
        <rFont val="Calibri"/>
        <family val="2"/>
        <scheme val="minor"/>
      </rPr>
      <t> below -8.6 dB, </t>
    </r>
    <r>
      <rPr>
        <i/>
        <sz val="11"/>
        <color rgb="FF333333"/>
        <rFont val="Calibri"/>
        <family val="2"/>
        <scheme val="minor"/>
      </rPr>
      <t>S</t>
    </r>
    <r>
      <rPr>
        <sz val="11"/>
        <color rgb="FF333333"/>
        <rFont val="Calibri"/>
        <family val="2"/>
        <scheme val="minor"/>
      </rPr>
      <t> </t>
    </r>
    <r>
      <rPr>
        <sz val="8"/>
        <color rgb="FF333333"/>
        <rFont val="Calibri"/>
        <family val="2"/>
        <scheme val="minor"/>
      </rPr>
      <t>22</t>
    </r>
    <r>
      <rPr>
        <sz val="11"/>
        <color rgb="FF333333"/>
        <rFont val="Calibri"/>
        <family val="2"/>
        <scheme val="minor"/>
      </rPr>
      <t> below -10 dB, </t>
    </r>
    <r>
      <rPr>
        <i/>
        <sz val="11"/>
        <color rgb="FF333333"/>
        <rFont val="Calibri"/>
        <family val="2"/>
        <scheme val="minor"/>
      </rPr>
      <t>S</t>
    </r>
    <r>
      <rPr>
        <sz val="11"/>
        <color rgb="FF333333"/>
        <rFont val="Calibri"/>
        <family val="2"/>
        <scheme val="minor"/>
      </rPr>
      <t> </t>
    </r>
    <r>
      <rPr>
        <sz val="8"/>
        <color rgb="FF333333"/>
        <rFont val="Calibri"/>
        <family val="2"/>
        <scheme val="minor"/>
      </rPr>
      <t>12</t>
    </r>
    <r>
      <rPr>
        <sz val="11"/>
        <color rgb="FF333333"/>
        <rFont val="Calibri"/>
        <family val="2"/>
        <scheme val="minor"/>
      </rPr>
      <t> below -26 dB, flat </t>
    </r>
    <r>
      <rPr>
        <i/>
        <sz val="11"/>
        <color rgb="FF333333"/>
        <rFont val="Calibri"/>
        <family val="2"/>
        <scheme val="minor"/>
      </rPr>
      <t>S</t>
    </r>
    <r>
      <rPr>
        <sz val="11"/>
        <color rgb="FF333333"/>
        <rFont val="Calibri"/>
        <family val="2"/>
        <scheme val="minor"/>
      </rPr>
      <t> </t>
    </r>
    <r>
      <rPr>
        <sz val="8"/>
        <color rgb="FF333333"/>
        <rFont val="Calibri"/>
        <family val="2"/>
        <scheme val="minor"/>
      </rPr>
      <t>21</t>
    </r>
    <r>
      <rPr>
        <sz val="11"/>
        <color rgb="FF333333"/>
        <rFont val="Calibri"/>
        <family val="2"/>
        <scheme val="minor"/>
      </rPr>
      <t> of 12.26 ± 0.63 dB, and flat NF of 4.24 ± 0.5 dB over the 3.1-10.6-GHz band of interest. Besides, good phase linearity property (group-delay variation is only ±22 ps across the whole band) is also achieved. The analytical, simulated, and measured results agree well with one another.</t>
    </r>
  </si>
  <si>
    <t>On the Recovery Time of Highly Robust Low-Noise Amplifiers</t>
  </si>
  <si>
    <t>Armin Liero, Mike Dewitz, Silvio Kuhn, et.al</t>
  </si>
  <si>
    <t>Recently, GaN-based low-noise amplifiers (LNAs) were shown to provide high ruggedness together with low noise figure. Since no limiter is required to protect the input, these LNAs allow for simplified receiver architectures. This paper presents an in-depth analysis of the recovery time of a highly rugged LNA. Recovery time is measured in the time domain, and an analytical approximation is developed that allows to estimate and optimize recovery. A new measurement setup is established in order to determine the impact of the overdrive pulse on LNA gain. An X-band LNA is shown as an example. It survives input overdrive powers of up to 46 dBm under pulsed and 40 dBm under continuous wave conditions, with a noise figure of 2.8 dB. Extremely short recovery times below were simulated and measured.</t>
  </si>
  <si>
    <t>https://ieeexplore.ieee.org/stamp/stamp.jsp?tp=&amp;arnumber=5427096</t>
  </si>
  <si>
    <t>Low-Noise Amplifier Design With Dual Reactive Feedback for Broadband Simultaneous Noise and Impedance Matching</t>
  </si>
  <si>
    <t>Chang-Tsung Fu, Chien-Nan Kuo, Stewart S. Taylor</t>
  </si>
  <si>
    <t>The simultaneous noise and impedance matching (SNIM) condition for a common-source amplifier is analyzed. Transistor noise parameters are derived based on the more complete hybrid-¿ model, and the dominant factors jeopardizing SNIM are identified. Strategies for narrowband and broadband SNIM (BSNIM) are derived accordingly. A dual reactive feedback circuit along with an LC-ladder matching network is proposed to achieve the BSNIM. It includes a capacitive and an inductive feedback, where the former utilizes the transistor parasitic gate-to-drain capacitance and the latter is formed by transformer coupling. This circuit topology has been validated in 0.18- and 0.13- ¿m CMOS technologies for a 3-11-GHz ultra-wideband (UWB) and a 2.4-5.4-GHz multistandard application, respectively. The 3-11-GHz UWB low-noise amplifier is detailed as a design example.</t>
  </si>
  <si>
    <t>https://ieeexplore.ieee.org/stamp/stamp.jsp?tp=&amp;arnumber=5431031</t>
  </si>
  <si>
    <t>68–110-GHz-Band Low-Noise Amplifier Using Current Reuse Topology</t>
  </si>
  <si>
    <t>Masaru Sato, Tsuyoshi Takahashi, Tatsuya Hirose</t>
  </si>
  <si>
    <r>
      <t>This paper proposes a new topology for a broadband low-noise-amplifier (LNA). A common-gate (CG) amplifier with a matching inductor composes a unit cell, and the unit cells are cascaded to increase gain. As both the input and output impedances of the unit cell are matched to 50 Ω for a wide frequency range, it is possible to increase the gain while maintaining wide bandwidth. Thus, high-gain and broadband performance can be obtained using this topology. The other features of the amplifier are its small size, low power consumption, and current reuse topology. This paper presents the design methodology of a multistage CG amplifier with a matching inductor. Fabricated in an 80-nm InP HEMT process, we developed an ultra-broadband LNA. The LNA with a three-stage CG amplifier exhibited a gain of 18 dB and a noise figure of 3.5 dB from 68 to over 110 GHz. The power consumption was 12 mW under a power supply voltage of 3 V. The chip size is 0.55 × 0.75 mm </t>
    </r>
    <r>
      <rPr>
        <sz val="8"/>
        <color rgb="FF333333"/>
        <rFont val="Calibri"/>
        <family val="2"/>
        <scheme val="minor"/>
      </rPr>
      <t>2</t>
    </r>
    <r>
      <rPr>
        <sz val="11"/>
        <color rgb="FF333333"/>
        <rFont val="Calibri"/>
        <family val="2"/>
        <scheme val="minor"/>
      </rPr>
      <t> . Furthermore, we developed a receiver for passive millimeter-wave imagers by integrating a six-stage LNA with a power detector. The chip size of the receiver is 1.1 × 0.75 mm </t>
    </r>
    <r>
      <rPr>
        <sz val="8"/>
        <color rgb="FF333333"/>
        <rFont val="Calibri"/>
        <family val="2"/>
        <scheme val="minor"/>
      </rPr>
      <t>2</t>
    </r>
    <r>
      <rPr>
        <sz val="11"/>
        <color rgb="FF333333"/>
        <rFont val="Calibri"/>
        <family val="2"/>
        <scheme val="minor"/>
      </rPr>
      <t> . The sensitivity of the pre-amplified detector was more than 2 000 V/mW from 75 to 100 GHz. These results show that the topology is one of the best candidates for high-gain and broadband LNA with small size and low power consumption.</t>
    </r>
  </si>
  <si>
    <t>https://ieeexplore.ieee.org/stamp/stamp.jsp?tp=&amp;arnumber=5481955</t>
  </si>
  <si>
    <t>A2×VDD-Enabled Mobile-TV RF Front-End With TV-GSM Interoperability in 1-V 90-nm CMOS</t>
  </si>
  <si>
    <t>Pui-In Mak, Rui P. Martins</t>
  </si>
  <si>
    <r>
      <t>A 2 × V </t>
    </r>
    <r>
      <rPr>
        <sz val="8"/>
        <color rgb="FF333333"/>
        <rFont val="Calibri"/>
        <family val="2"/>
        <scheme val="minor"/>
      </rPr>
      <t>DD</t>
    </r>
    <r>
      <rPr>
        <sz val="11"/>
        <color rgb="FF333333"/>
        <rFont val="Calibri"/>
        <family val="2"/>
        <scheme val="minor"/>
      </rPr>
      <t> -enabled mobile-TV RF front-end with TV-GSM interoperability is described. It is an on/off-chip codesign employing externally three customized UHF/VHF preselect filters, an RF switch, and a balun. The integrated part includes: 1) a cascode-cascade inverter-based low-noise amplifier that features a high gain-to-power efficiency; 2) a linearized C-2C attenuator using reliably-overdriven MOS switches; 3) an inductive-peaking feedforward path that evens out the passband variation; and 4) two cascode I/Q mixer drivers capable to drive passive mixers with small gain and bandwidth reduction. Gate-drain-source engineering and self-biased structures are the keys enabling performance optimization with low power and no reliability risk. Fabricated in a 90-nm CMOS process with 1-V thin-oxide devices, the RF front-end measures 68-dB rejection at GSM-900 uplink, 0.7-dB passband roll-off, 3.9-dB noise figure, and -5.5-dBm third-order intercept point at a maximum voltage gain of 26.2 dB. The core occupies 0.28 mm </t>
    </r>
    <r>
      <rPr>
        <sz val="8"/>
        <color rgb="FF333333"/>
        <rFont val="Calibri"/>
        <family val="2"/>
        <scheme val="minor"/>
      </rPr>
      <t>2</t>
    </r>
    <r>
      <rPr>
        <sz val="11"/>
        <color rgb="FF333333"/>
        <rFont val="Calibri"/>
        <family val="2"/>
        <scheme val="minor"/>
      </rPr>
      <t> and draws 15 mW. The achieved power-performance metrics compares favorably with the prior state of the art.</t>
    </r>
  </si>
  <si>
    <t>https://ieeexplore.ieee.org/stamp/stamp.jsp?tp=&amp;arnumber=5481991</t>
  </si>
  <si>
    <t>Analysis and Design of a 1.6–28-GHz Compact Wideband LNA in 90-nm CMOS Using aπ-Match Input Network</t>
  </si>
  <si>
    <t>Hsien-Ku Chen, Yo-Sheng Lin, Shey-Shi Lu</t>
  </si>
  <si>
    <r>
      <t>This paper presents a wideband low-noise amplifier (LNA) based on the cascode configuration with resistive feedback. Wideband input-impedance matching was achieved using a shunt-shunt feedback resistor in conjunction with a preceding π -match network, while the wideband gain response was obtained using a post-cascode inductor (L </t>
    </r>
    <r>
      <rPr>
        <sz val="8"/>
        <color rgb="FF333333"/>
        <rFont val="Calibri"/>
        <family val="2"/>
        <scheme val="minor"/>
      </rPr>
      <t>P</t>
    </r>
    <r>
      <rPr>
        <sz val="11"/>
        <color rgb="FF333333"/>
        <rFont val="Calibri"/>
        <family val="2"/>
        <scheme val="minor"/>
      </rPr>
      <t> ), which was inserted between the output of the cascoding transistor and the input of the shunt-shunt resistive feedback network to enhance the gain and suppress noise. Theoretical analysis shows that the frequency response of the power gain, as well as the noise figure (NF), can be described by second-order functions with quality factors or damping ratios as parameters. Implemented in 90-nm CMOS technology, the die area of this wideband LNA is only 0.139 mm </t>
    </r>
    <r>
      <rPr>
        <sz val="8"/>
        <color rgb="FF333333"/>
        <rFont val="Calibri"/>
        <family val="2"/>
        <scheme val="minor"/>
      </rPr>
      <t>2</t>
    </r>
    <r>
      <rPr>
        <sz val="11"/>
        <color rgb="FF333333"/>
        <rFont val="Calibri"/>
        <family val="2"/>
        <scheme val="minor"/>
      </rPr>
      <t> including testing pads. It dissipates 21.6-mW power and achieves S </t>
    </r>
    <r>
      <rPr>
        <sz val="8"/>
        <color rgb="FF333333"/>
        <rFont val="Calibri"/>
        <family val="2"/>
        <scheme val="minor"/>
      </rPr>
      <t>11</t>
    </r>
    <r>
      <rPr>
        <sz val="11"/>
        <color rgb="FF333333"/>
        <rFont val="Calibri"/>
        <family val="2"/>
        <scheme val="minor"/>
      </rPr>
      <t> below -10 dB, S </t>
    </r>
    <r>
      <rPr>
        <sz val="8"/>
        <color rgb="FF333333"/>
        <rFont val="Calibri"/>
        <family val="2"/>
        <scheme val="minor"/>
      </rPr>
      <t>22</t>
    </r>
    <r>
      <rPr>
        <sz val="11"/>
        <color rgb="FF333333"/>
        <rFont val="Calibri"/>
        <family val="2"/>
        <scheme val="minor"/>
      </rPr>
      <t> below -10 dB, flat S </t>
    </r>
    <r>
      <rPr>
        <sz val="8"/>
        <color rgb="FF333333"/>
        <rFont val="Calibri"/>
        <family val="2"/>
        <scheme val="minor"/>
      </rPr>
      <t>21</t>
    </r>
    <r>
      <rPr>
        <sz val="11"/>
        <color rgb="FF333333"/>
        <rFont val="Calibri"/>
        <family val="2"/>
        <scheme val="minor"/>
      </rPr>
      <t> of 9.6 ±1.1 dB, and flat NF of 3.68 ± 0.72 dB over the 1.6-28-GHz band. Besides, excellent input third-order inter-modulation point of +4 dBm is also achieved. The analytical, simulated, and measured results are mutually consistent.</t>
    </r>
  </si>
  <si>
    <t>https://ieeexplore.ieee.org/stamp/stamp.jsp?tp=&amp;arnumber=5497166</t>
  </si>
  <si>
    <t>A Low-Power Full-Band Low-Noise Amplifier for Ultra-Wideband Receivers</t>
  </si>
  <si>
    <t>Ro-Min Weng, Chun-Yu Liu, Po-Cheng Lin</t>
  </si>
  <si>
    <r>
      <t>In this paper, a low-power full-band low-noise amplifier (FB-LNA) for ultra-wideband applications is presented. The proposed FB-LNA uses a stagger-tuning technique to extend the full bandwidth from 3.1 to 10.6 GHz. A current-reused architecture is employed to decrease the power consumption. By using an input common-gate stage, the input resistance of 50 Ω can be obtained without an extra input-matching network. The output matching is achieved by cascading an output common-drain stage. FB-LNA was implemented with a TSMC 0.18-μm CMOS process. On-wafer measurement shows an average power gain of 9.7 dB within the full operation band. The input reflection coefficient and the output reflection coefficient are both less than -10 dB over the entire band. The noise figure of the full band remained under 7 dB with a minimum value of 5.27 dB. The linearity of input third-order intercept point is -2.23 dBm. The power consumptions at 1.5-V supply voltage without an output buffer is 4.5 mW. The chip area occupies 1.17 × 0.88 mm </t>
    </r>
    <r>
      <rPr>
        <sz val="8"/>
        <color rgb="FF333333"/>
        <rFont val="Calibri"/>
        <family val="2"/>
        <scheme val="minor"/>
      </rPr>
      <t>2</t>
    </r>
    <r>
      <rPr>
        <sz val="11"/>
        <color rgb="FF333333"/>
        <rFont val="Calibri"/>
        <family val="2"/>
        <scheme val="minor"/>
      </rPr>
      <t> .</t>
    </r>
  </si>
  <si>
    <t>https://ieeexplore.ieee.org/stamp/stamp.jsp?tp=&amp;arnumber=5497167</t>
  </si>
  <si>
    <t>Wideband Common-Gate CMOS LNA Employing Dual Negative Feedback With Simultaneous Noise, Gain, and Bandwidth Optimization</t>
  </si>
  <si>
    <t>Jusung Kim, Sebastian Hoyos, Jose Silva-Martinez</t>
  </si>
  <si>
    <r>
      <t>This paper presents a wideband common-gate (CG) LNA architecture that overcomes the fundamental tradeoff between power and noise match without compromising its stability. The proposed architecture can achieve the minimum noise figure (NF) over the previously reported feedback amplifiers in a CG configuration. The proposed architecture achieves broadband impedance matching, low noise, large gain, enhanced linearity, and wide bandwidth concurrently by employing an efficient and reliable dual negative-feedback. An amplifier prototype was realized in 0.18-μm CMOS, operates from 1.05 to 3.05 GHz, and dissipates 12.6 mW from 1.8-V supply while occupying a 0.073-mm </t>
    </r>
    <r>
      <rPr>
        <sz val="8"/>
        <color rgb="FF333333"/>
        <rFont val="Calibri"/>
        <family val="2"/>
        <scheme val="minor"/>
      </rPr>
      <t>2</t>
    </r>
    <r>
      <rPr>
        <sz val="11"/>
        <color rgb="FF333333"/>
        <rFont val="Calibri"/>
        <family val="2"/>
        <scheme val="minor"/>
      </rPr>
      <t> active area. The LNA provides 16.9-dB maximum voltage gain, 2.57-dB minimum NF, better than - 10-dB input matching, and - 0.7-dBm minimum IIP </t>
    </r>
    <r>
      <rPr>
        <sz val="8"/>
        <color rgb="FF333333"/>
        <rFont val="Calibri"/>
        <family val="2"/>
        <scheme val="minor"/>
      </rPr>
      <t>3</t>
    </r>
    <r>
      <rPr>
        <sz val="11"/>
        <color rgb="FF333333"/>
        <rFont val="Calibri"/>
        <family val="2"/>
        <scheme val="minor"/>
      </rPr>
      <t> across the entire bandwidth.</t>
    </r>
  </si>
  <si>
    <t>https://ieeexplore.ieee.org/stamp/stamp.jsp?tp=&amp;arnumber=5545456</t>
  </si>
  <si>
    <t>A Compact 0.1–14-GHz Ultra-Wideband Low-Noise Amplifier in 0.13-μmCMOS</t>
  </si>
  <si>
    <r>
      <t>A compact ultra-wideband low-noise amplifier (LNA) with a 12.4-dB maximum gain, a 2.7-dB minimum noise figure (NF), and a bandwidth over 0.1-14 GHz is realized in a 0.13-μm CMOS technology. The circuit is basically an inductorless configuration using the resistive-feedback and current-reuse techniques for wideband and high-gain characteristics. It was found that a small inductor of only 0.4 nH can greatly improve the circuit performance, which enhances the bandwidth by 23%, and reduces the NF by 0.94 dB (at 10.6 GHz), while only consuming an additional area of 80 × 80 μm </t>
    </r>
    <r>
      <rPr>
        <sz val="8"/>
        <color rgb="FF333333"/>
        <rFont val="Calibri"/>
        <family val="2"/>
        <scheme val="minor"/>
      </rPr>
      <t>2</t>
    </r>
    <r>
      <rPr>
        <sz val="11"/>
        <color rgb="FF333333"/>
        <rFont val="Calibri"/>
        <family val="2"/>
        <scheme val="minor"/>
      </rPr>
      <t> . The LNA only occupies a core area of 0.031 mm , and consumes 14.4 mW from a 1.8-V supply.</t>
    </r>
  </si>
  <si>
    <t>https://ieeexplore.ieee.org/stamp/stamp.jsp?tp=&amp;arnumber=5559538</t>
  </si>
  <si>
    <t>A 5.5-mW+9.4-dBm IIP3 1.8-dB NF CMOS LNA Employing Multiple Gated Transistors With Capacitance Desensitization</t>
  </si>
  <si>
    <t>Tae Hwan Jin, Tae Wook Kim</t>
  </si>
  <si>
    <t>A capacitance desensitization technique is proposed for a multiple gated transistors amplifier with source degeneration to relax second-order distortion contribution to a third-order intermodulation distortion (IMD3), as well as an induced-gate noise contribution to noise figure. An extra capacitance, which is added between gate and source nodes of input transistors in a parallel manner, can desensitize the contribution of second-order harmonic feedback to IMD3. The capacitance is useful for optimizing noise figure, as well by controlling the input matching network quality factor (Q), which can desensitize the induced-gate noise contribution to noise figure. The low-noise amplifier is implemented with the proposed technique using 1P6M 0.18-μm CMOS technology for 900-MHz code division multiple access (CDMA) receivers. It shows a third-order intercept point of +9.4 dBm and noise figure of 1.8 dB while consuming 5.5 mW at 1.5 V.</t>
  </si>
  <si>
    <t>https://ieeexplore.ieee.org/stamp/stamp.jsp?tp=&amp;arnumber=5560699</t>
  </si>
  <si>
    <t>A CMOS Active Feedback Balun-LNA With High IIP2 for Wideband Digital TV Receivers</t>
  </si>
  <si>
    <t>Donggu Im, IIku Nam, Kwyro Lee</t>
  </si>
  <si>
    <t>A wideband active feedback single-to-differential (S-to-D) low-noise amplifier (LNA) for digital TV (DTV) tuners composed of a S-to-D converter, a voltage combiner, and a negative feedback network is proposed to achieve low noise as well as to improve the linearity performances (IIP2 and IIP3) simultaneously. By feeding the single-ended output of the voltage combiner, which is used for combining the differential output of the S-to-D converter, to the input of the LNA through the feedback network, a wideband S-to-D LNA exploiting negative feedback is implemented. The differential mode operation of the voltage combiner reduces the second-order nonlinearity feedback, allowing us to improve both the IIP3 and IIP2 of the LNA at the same time. Two LNA design examples are presented to demonstrate usefulness of the proposed approach. The LNA I, by adopting a common source (CS) amplifier with a common gate, common source (CGCS) balun load as the S-to-D converter, is able to achieve a high gain and a low noise figure (NF) by increasing the loop gain. The LNA II using the differential amplifier with the ac-grounded second input terminal is designed for robust IIP2 to PVT variations.</t>
  </si>
  <si>
    <t>https://ieeexplore.ieee.org/stamp/stamp.jsp?tp=&amp;arnumber=5625932</t>
  </si>
  <si>
    <t>A Multi-ESD-Path Low-Noise Amplifier With a 4.3-A TLP Current Level in 65-nm CMOS</t>
  </si>
  <si>
    <t>Ming-Hsien Tsai, Shawn S. H. Hsu, Fu-Lung Hsueh, Chewn-Pu Jou</t>
  </si>
  <si>
    <t>This paper studies the electrostatic discharge (ESD)-protected RF low-noise amplifiers (LNAs) in 65-nm CMOS technology. Three different ESD designs, including double-diode, modified silicon-controlled rectifier (SCR), and modified-SCR with double-diode configurations, are employed to realize ESD-protected LNAs at 5.8 GHz. By using the modified-SCR in conjunction with double-diode, a 5.8-GHz LNA with multiple ESD current paths demonstrates a 4.3-A transmission line pulse (TLP) failure level, corresponding to a ~ 6.5-kV Human-Body-Mode (HBM) ESD protection level. Under a supply voltage of 1.2 V and a drain current of 6.5 mA, the proposed ESD-protected LNA demonstrates a noise figure of 2.57 dB with an associated power gain of 16.7 dB. The input third-order intercept point (IIP3) is - 11 dBm, the input and output return losses are greater than 15.9 and 20 dB, respectively.</t>
  </si>
  <si>
    <t>https://ieeexplore.ieee.org/stamp/stamp.jsp?tp=&amp;arnumber=5628264</t>
  </si>
  <si>
    <t>*(This paper has four differnet versions of a LNA design)</t>
  </si>
  <si>
    <t>A 3–10-GHz Low-Power CMOS Low-Noise Amplifier for Ultra-Wideband Communication</t>
  </si>
  <si>
    <t>Giuseppina Sapone, Giuseppe Palmisano</t>
  </si>
  <si>
    <t>A 90-nm CMOS low-noise amplifier (LNA) for 3-10-GHz ultra-wideband (UWB) applications is presented. The circuit adopts a single-ended dual-stage solution. The first stage is based on a current-reuse topology and performs UWB (3-10 GHz) input matching. The second stage is a cascode amplifier with resonant load to enhance gain and reverse isolation. Thanks to both the circuit solution and design approach, the LNA provides input matching, low noise, flat gain, and small group-delay variation in the UWB frequency range at minimum power consumption. The design is also conceived to cope with application issues such as low-cost off-chip interfaces and electrostatic discharge robustness. Measurements exhibit a 12.5-dB power gain in a 7.6-GHz 3-dB bandwidth, a minimum noise figure of 3 dB, a reverse isolation better than 45 dB up to 10.6 GHz, and a record small group-delay variation of ±12 ps. The LNA draws 6 mA from a 1.2-V power supply.</t>
  </si>
  <si>
    <t>https://ieeexplore.ieee.org/stamp/stamp.jsp?tp=&amp;arnumber=5648395</t>
  </si>
  <si>
    <t>A 0.18-μmDual-Gate CMOS Device Modeling and Applications for RF Cascode Circuits</t>
  </si>
  <si>
    <t>Hong-Yeh Chang, Kung-Hao Liang</t>
  </si>
  <si>
    <t>A merged-diffusion dual-gate CMOS device model is presented in this paper. The proposed large-signal model consists of two intrinsic BSIM3v3 nonlinear models and parasitic components. The parasitic elements, including the substrate networks, the distributed resistances, and the inductances, are extracted from the measured S-parameters. In order to verify the model accuracy, a cascode configuration with the proposed dual-gate device is employed in a low-noise amplifier. The dual-gate model is also evaluated with power sweep and load-pull measurements. In addition, a doubly balanced dual-gate mixer is successfully demonstrated using the proposed model. The measured results agree with the simulated results using the proposed device model for both linear and nonlinear applications. The advanced large-signal dual-gate CMOS model can be further used as an RF sub-circuit cell for simplifying the design procedure.</t>
  </si>
  <si>
    <t>https://ieeexplore.ieee.org/stamp/stamp.jsp?tp=&amp;arnumber=5654608</t>
  </si>
  <si>
    <t>Design and Analysis of a Cascode Bipolar Low-Noise Amplifier With Capacitive Shunt Feedback Under Power-Constraint</t>
  </si>
  <si>
    <t>Byoungjoong Kang, Jinhyuck Yu, Heeseon Shin, et.al</t>
  </si>
  <si>
    <r>
      <t>A cascode bipolar low-noise amplifier (LNA) with capacitive shunt feedback has been developed to present a solution for simultaneous noise and power match when the real part of the optimum source impedance is not 50 Ω in order to keep high current density under power constraint. The proposed LNA also has the capability for the simultaneous improvement of noise figure (NF) and linearity. In addition, we analyzed and verified that the second-order interaction, which affects the third-order nonlinearity, becomes less sensitive to the low-frequency input termination at higher bias currents. The possibility of removing the low-frequency LC trap is investigated based on this analysis. We also show that LNAs with smaller base and/or smaller emitter resistances require lower source impedance at low frequencies to improve linearity by the same amount. Finally, prudent layouts for improving the performance of the LNA are considered. Eleven design examples of the proposed LNA, which individually operate at 880, 1575, or 1960 MHz, are fabricated in a low-cost 0.35- μm SiGe BiCMOS process to verify the design and analysis experimentally. The fabricated LNAs have excellent performances, especially in NF. For example, the 880-MHz LNA has an NF of 0.9 dB, a power gain of 16 dB, and an IIP </t>
    </r>
    <r>
      <rPr>
        <sz val="8"/>
        <color rgb="FF333333"/>
        <rFont val="Calibri"/>
        <family val="2"/>
        <scheme val="minor"/>
      </rPr>
      <t>3</t>
    </r>
    <r>
      <rPr>
        <sz val="11"/>
        <color rgb="FF333333"/>
        <rFont val="Calibri"/>
        <family val="2"/>
        <scheme val="minor"/>
      </rPr>
      <t> of +14 dBm with current consumption of 11 mA from a 2.8-V power supply.</t>
    </r>
  </si>
  <si>
    <t>https://ieeexplore.ieee.org/stamp/stamp.jsp?tp=&amp;arnumber=5762381</t>
  </si>
  <si>
    <t>A CMOS MedRadio Receiver RF Front-End With a Complementary Current-Reuse LNA</t>
  </si>
  <si>
    <t>Hyouk-Kyu Cha, M. Kumarasamy Raja, Xiaojun Yuan, Minkyu Je</t>
  </si>
  <si>
    <r>
      <t>An ultra-low-power 401-406-MHz Medical Device Radiocommunications Service receiver RF front-end for biomedical telemetry applications is implemented using 0.18-μm CMOS technology. A single-ended complementary current-reuse low-noise amplifier (CCRLNA) is proposed that achieves a power gain of 20 dB, noise figure (NF) of 2.8 dB, IIP3 of -8.1 dBm, and second-order intercept point of +34 dBm while consuming only 150 μW at 1-V supply voltage. The total receiver RF front-end, including the proposed CCRLNA, in-phase/quadrature folded mixers, and local oscillator buffers, achieves a conversion gain of 28.7 dB, NF of 5.5 dB, and third-order intercept point of -25 dBm while consuming less than 500 μW from a 1-V supply voltage and occupying 0.7 mm </t>
    </r>
    <r>
      <rPr>
        <sz val="8"/>
        <color rgb="FF333333"/>
        <rFont val="Calibri"/>
        <family val="2"/>
        <scheme val="minor"/>
      </rPr>
      <t>2</t>
    </r>
    <r>
      <rPr>
        <sz val="11"/>
        <color rgb="FF333333"/>
        <rFont val="Calibri"/>
        <family val="2"/>
        <scheme val="minor"/>
      </rPr>
      <t> of core die area.</t>
    </r>
  </si>
  <si>
    <t>https://ieeexplore.ieee.org/stamp/stamp.jsp?tp=&amp;arnumber=5763727</t>
  </si>
  <si>
    <t>Design of Wideband LNAs Using Parallel-to-Series Resonant Matching Network Between Common-Gate and Common-Source Stages</t>
  </si>
  <si>
    <t>Yu-Tsung Lo, Jean-Fu Kiang</t>
  </si>
  <si>
    <t>A method is proposed to design wideband low-noise amplifiers (LNAs) made of cascaded common-gate (CG) and common-source (CS) stages with a parallel-to-series resonant interstage matching network. The first CG stage has a dual-band response, and the second CS stage has higher gain between these two bands. By applying the proposed interstage matching technique, conjugate matching is achieved at high and low bands, while the midband loss is compensated by the second stage. The output network of the first stage and the input network of the second stage resonate at the same frequency. Two wideband LNAs are designed based on this method and implemented in 0.18- μm RF-mixed signal CMOS process. The first LNA operates at 3.1-10.3 GHz, having 9.6-12.71 dB of power gain and 2.5-3.9 dB of noise figure (NF) at the power consumption of 13.4 mW. The second LNA operates at 14.3-29.3 GHz, having 8.25 ± 1.65 dB of power gain and 4.3-5.8 dB of NF at the power consumption of 13.9 mW.</t>
  </si>
  <si>
    <t>https://ieeexplore.ieee.org/stamp/stamp.jsp?tp=&amp;arnumber=5941018</t>
  </si>
  <si>
    <t>Broadband Low-Noise Amplifier With Fast Power Switching for 3.1–10.6-GHz Ultra-Wideband Applications</t>
  </si>
  <si>
    <t>Ahmed M. El-Gabaly, Carlos E. Saavedra</t>
  </si>
  <si>
    <r>
      <t>A novel fast switching noise-cancelling low-noise amplifier (LNA) is presented in this paper using 0.13-μ m CMOS for 3.1-10.6-GHz ultra-wideband applications. A new noise-cancelling topology is employed to simultaneously achieve a sub-4-dB flat noise figure and a high gain of 16.6 dB for frequencies up to 10 GHz. Fast on and off power switching is achieved by bypassing the large dc-bias resistors that lead to long charging time constants, allowing the output voltage to settle within only 1.3 ns for switching frequencies as high as 200 MHz. The phase noise and jitter added by the switched LNA was characterized, and the measured output integrated rms jitter is about 750 fs from 10 Hz to 1 MHz, while the input integrated rms jitter is 420 fs. The circuit consumes 18 mW of dc power in the on state. When the circuit is switched on and off with a 50% duty cycle, the power consumption is less than 10 mW. It occupies an active chip area of less than 0.5 mm </t>
    </r>
    <r>
      <rPr>
        <sz val="8"/>
        <color rgb="FF333333"/>
        <rFont val="Calibri"/>
        <family val="2"/>
        <scheme val="minor"/>
      </rPr>
      <t>2</t>
    </r>
    <r>
      <rPr>
        <sz val="11"/>
        <color rgb="FF333333"/>
        <rFont val="Calibri"/>
        <family val="2"/>
        <scheme val="minor"/>
      </rPr>
      <t> .</t>
    </r>
  </si>
  <si>
    <t>https://ieeexplore.ieee.org/stamp/stamp.jsp?tp=&amp;arnumber=6059460</t>
  </si>
  <si>
    <t>A 2.8-mW Sub-2-dB Noise-Figure Inductorless Wideband CMOS LNA Employing Multiple Feedback</t>
  </si>
  <si>
    <t>Ehab Ahmed Sobhy, Ahmed A. Helmy, Sebastian Hoyos, et.al</t>
  </si>
  <si>
    <r>
      <t>A wideband low-noise amplifier (LNA), which is a key block in the design of broadband receivers for multiband wireless communication standards, is presented in this paper. The LNA is a fully differential common-gate structure. It uses multiple feedback paths, which add degrees of freedom in the choice of the LNA transconductance to reduce the noise figure (NF) and increase the amplification. The proposed LNA avoids the use of bulky inductors that leads to area and cost saving. A prototype is implemented in IBM 90-nm CMOS technology. It covers the frequency range of 100 MHz to 1.77 GHz. The core consumes 2.8 mW from a 2-V supply occupying an area of 0.03 mm </t>
    </r>
    <r>
      <rPr>
        <sz val="8"/>
        <color rgb="FF333333"/>
        <rFont val="Calibri"/>
        <family val="2"/>
        <scheme val="minor"/>
      </rPr>
      <t>2</t>
    </r>
    <r>
      <rPr>
        <sz val="11"/>
        <color rgb="FF333333"/>
        <rFont val="Calibri"/>
        <family val="2"/>
        <scheme val="minor"/>
      </rPr>
      <t> . Measurements show a gain of 23 dB with a 3-dB bandwidth of 1.76 GHz. The minimum NF is 1.85 dB, while the average NF is 2 dB across the whole band. The LNA achieves a return loss greater than 10 dB across the entire band and a third-order input intercept point IIP </t>
    </r>
    <r>
      <rPr>
        <sz val="8"/>
        <color rgb="FF333333"/>
        <rFont val="Calibri"/>
        <family val="2"/>
        <scheme val="minor"/>
      </rPr>
      <t>3</t>
    </r>
    <r>
      <rPr>
        <sz val="11"/>
        <color rgb="FF333333"/>
        <rFont val="Calibri"/>
        <family val="2"/>
        <scheme val="minor"/>
      </rPr>
      <t> of - 2.85 dBm at the maximum gain frequency.</t>
    </r>
  </si>
  <si>
    <t>https://ieeexplore.ieee.org/stamp/stamp.jsp?tp=&amp;arnumber=6060931</t>
  </si>
  <si>
    <t>ESD-Protected K-Band Low-Noise Amplifiers Using RF Junction Varactors in 65-nm CMOS</t>
  </si>
  <si>
    <r>
      <t>This paper presents two K-band low-noise amplifiers (LNAs) in 65-nm CMOS using the proposed RF junction varactors as the ESD protection devices. The junction varactors are customized for the RF ESD applications with accurate equivalent circuit models. The experimental results demonstrate excellent second breakdown currents (</t>
    </r>
    <r>
      <rPr>
        <i/>
        <sz val="11"/>
        <color rgb="FF333333"/>
        <rFont val="Calibri"/>
        <family val="2"/>
        <scheme val="minor"/>
      </rPr>
      <t>It</t>
    </r>
    <r>
      <rPr>
        <sz val="8"/>
        <color rgb="FF333333"/>
        <rFont val="Calibri"/>
        <family val="2"/>
        <scheme val="minor"/>
      </rPr>
      <t>2</t>
    </r>
    <r>
      <rPr>
        <sz val="11"/>
        <color rgb="FF333333"/>
        <rFont val="Calibri"/>
        <family val="2"/>
        <scheme val="minor"/>
      </rPr>
      <t>) and high ratios of the ESD level to parasitic capacitances (</t>
    </r>
    <r>
      <rPr>
        <i/>
        <sz val="11"/>
        <color rgb="FF333333"/>
        <rFont val="Calibri"/>
        <family val="2"/>
        <scheme val="minor"/>
      </rPr>
      <t>V</t>
    </r>
    <r>
      <rPr>
        <sz val="8"/>
        <color rgb="FF333333"/>
        <rFont val="Calibri"/>
        <family val="2"/>
        <scheme val="minor"/>
      </rPr>
      <t>ESD</t>
    </r>
    <r>
      <rPr>
        <sz val="11"/>
        <color rgb="FF333333"/>
        <rFont val="Calibri"/>
        <family val="2"/>
        <scheme val="minor"/>
      </rPr>
      <t>/</t>
    </r>
    <r>
      <rPr>
        <i/>
        <sz val="11"/>
        <color rgb="FF333333"/>
        <rFont val="Calibri"/>
        <family val="2"/>
        <scheme val="minor"/>
      </rPr>
      <t>C</t>
    </r>
    <r>
      <rPr>
        <sz val="8"/>
        <color rgb="FF333333"/>
        <rFont val="Calibri"/>
        <family val="2"/>
        <scheme val="minor"/>
      </rPr>
      <t>ESD</t>
    </r>
    <r>
      <rPr>
        <sz val="11"/>
        <color rgb="FF333333"/>
        <rFont val="Calibri"/>
        <family val="2"/>
        <scheme val="minor"/>
      </rPr>
      <t>) . Using the dual-diode topology, the first LNA demonstrates an over 2-kV Human-Body-Model (HBM) ESD protection level with a noise figure (NF) of 2.8 dB and a peak gain of 14.3 dB at around 24 GHz under a power consumption of only 7 mW. By incorporating an RF junction varactor as the extra gate-source capacitance at the input stage as a part of the ESD network, the second LNA presents an enhanced failure current level up to 2.6 A (corresponding to an HBM ESD level of 3.9 kV), and a Charge-Device-Model (CDM) ESD level up to 10.7 A, characterized by the Very Fast Transmission Line Pulse (VFTLP) tests. The second LNA shows a NF of 3.2 dB and a power gain of 13.7 dB, also under 7 mW.</t>
    </r>
  </si>
  <si>
    <t>https://ieeexplore.ieee.org/stamp/stamp.jsp?tp=&amp;arnumber=6062662</t>
  </si>
  <si>
    <t>Analysis and Design of Millimeter-Wave Low-Power CMOS LNA With Transformer-Multicascode Topology</t>
  </si>
  <si>
    <t>Han-Chih Yeh, Ze-Yu Liao, Huei Wang</t>
  </si>
  <si>
    <r>
      <t>In this paper, the analysis and design of a CMOS multicascode configuration with a noise-reduction transformer topology are presented. Two low-power (LP), miniature, and wideband low-noise amplifiers (LNAs) were designed and fabricated for demonstration. One with a transformer triple-cascode configuration was designed at </t>
    </r>
    <r>
      <rPr>
        <i/>
        <sz val="11"/>
        <color rgb="FF333333"/>
        <rFont val="Calibri"/>
        <family val="2"/>
        <scheme val="minor"/>
      </rPr>
      <t>V</t>
    </r>
    <r>
      <rPr>
        <sz val="11"/>
        <color rgb="FF333333"/>
        <rFont val="Calibri"/>
        <family val="2"/>
        <scheme val="minor"/>
      </rPr>
      <t> -band, and the other with a transformer quadruple-cascode configuration was designed at </t>
    </r>
    <r>
      <rPr>
        <i/>
        <sz val="11"/>
        <color rgb="FF333333"/>
        <rFont val="Calibri"/>
        <family val="2"/>
        <scheme val="minor"/>
      </rPr>
      <t>Q</t>
    </r>
    <r>
      <rPr>
        <sz val="11"/>
        <color rgb="FF333333"/>
        <rFont val="Calibri"/>
        <family val="2"/>
        <scheme val="minor"/>
      </rPr>
      <t> -band. Both of the two LNAs were fabricated using 90-nm LP CMOS technology. To minimize the noise figure (NF) and maximize both the small-signal gain and 3-dB bandwidth, the noise-reduction transformers are designed and placed between transistors of the triple- and quadruple-cascode devices. Based on this approach, the </t>
    </r>
    <r>
      <rPr>
        <i/>
        <sz val="11"/>
        <color rgb="FF333333"/>
        <rFont val="Calibri"/>
        <family val="2"/>
        <scheme val="minor"/>
      </rPr>
      <t>Q</t>
    </r>
    <r>
      <rPr>
        <sz val="11"/>
        <color rgb="FF333333"/>
        <rFont val="Calibri"/>
        <family val="2"/>
        <scheme val="minor"/>
      </rPr>
      <t> -band LNA has a gain of 20.3 dB and an NF of 4.6 dB at 40 GHz, with a power consumption of 15 mW. Both of the LNA utilize a 3-V supply voltage, but the drain source voltage of each device in the multicascode configuration is below 1 V. The </t>
    </r>
    <r>
      <rPr>
        <i/>
        <sz val="11"/>
        <color rgb="FF333333"/>
        <rFont val="Calibri"/>
        <family val="2"/>
        <scheme val="minor"/>
      </rPr>
      <t>V</t>
    </r>
    <r>
      <rPr>
        <sz val="11"/>
        <color rgb="FF333333"/>
        <rFont val="Calibri"/>
        <family val="2"/>
        <scheme val="minor"/>
      </rPr>
      <t> -band LNA presents a gain of 12.7 dB from 43 to 58 GHz and a minimum NF of 4.7 dB at 62.5 GHz with a power consumption of 18 mW. The chip size of the </t>
    </r>
    <r>
      <rPr>
        <i/>
        <sz val="11"/>
        <color rgb="FF333333"/>
        <rFont val="Calibri"/>
        <family val="2"/>
        <scheme val="minor"/>
      </rPr>
      <t>V</t>
    </r>
    <r>
      <rPr>
        <sz val="11"/>
        <color rgb="FF333333"/>
        <rFont val="Calibri"/>
        <family val="2"/>
        <scheme val="minor"/>
      </rPr>
      <t> - and </t>
    </r>
    <r>
      <rPr>
        <i/>
        <sz val="11"/>
        <color rgb="FF333333"/>
        <rFont val="Calibri"/>
        <family val="2"/>
        <scheme val="minor"/>
      </rPr>
      <t>Q</t>
    </r>
    <r>
      <rPr>
        <sz val="11"/>
        <color rgb="FF333333"/>
        <rFont val="Calibri"/>
        <family val="2"/>
        <scheme val="minor"/>
      </rPr>
      <t> -band LNAs are 0.42×0.45 mm </t>
    </r>
    <r>
      <rPr>
        <sz val="8"/>
        <color rgb="FF333333"/>
        <rFont val="Calibri"/>
        <family val="2"/>
        <scheme val="minor"/>
      </rPr>
      <t>2</t>
    </r>
    <r>
      <rPr>
        <sz val="11"/>
        <color rgb="FF333333"/>
        <rFont val="Calibri"/>
        <family val="2"/>
        <scheme val="minor"/>
      </rPr>
      <t> and 0.45×0.48 mm </t>
    </r>
    <r>
      <rPr>
        <sz val="8"/>
        <color rgb="FF333333"/>
        <rFont val="Calibri"/>
        <family val="2"/>
        <scheme val="minor"/>
      </rPr>
      <t>2</t>
    </r>
    <r>
      <rPr>
        <sz val="11"/>
        <color rgb="FF333333"/>
        <rFont val="Calibri"/>
        <family val="2"/>
        <scheme val="minor"/>
      </rPr>
      <t> , including all the testing pads. Compared with the conventional cascode LNAs, the proposed transformer triple-cascode LNA has a better NF, wider 3-dB bandwidth, and lower power consumption, whereas the transformer quadruple-cascode LNA features even higher gain performance.</t>
    </r>
  </si>
  <si>
    <t>*(This paper has three different versions of a LNA design)</t>
  </si>
  <si>
    <t>*(This paper has two different versions of a LNA design)</t>
  </si>
  <si>
    <t>https://ieeexplore.ieee.org/stamp/stamp.jsp?tp=&amp;arnumber=6081971&amp;tag=1</t>
  </si>
  <si>
    <t>ESD Protection Design for 60-GHz LNA With Inductor-Triggered SCR in 65-nm CMOS Process</t>
  </si>
  <si>
    <t>Chun-Yu Lin, Li-Wei Chu, Ming-Dou Ker</t>
  </si>
  <si>
    <t>To effectively protect the radio-frequency (RF) circuits in nanoscale CMOS technology from electrostatic discharge (ESD) damages, the silicon-controlled rectifier (SCR) devices have been used as main on-chip ESD protection devices due to their high ESD robustness and low parasitic capacitance. In this paper, an SCR device assisted with an inductor is proposed to improve the turn-on efficiency for ESD protection. Besides, the inductor can be also designed to resonate with the parasitic capacitance of the SCR device at the selected frequency band for RF performance fine tuning. Experimental results of the ESD protection design with inductor-triggered SCR in a nanoscale CMOS process have been successfully verified at 60-GHz frequency. The ESD protection design with inductor-triggered SCR has been implemented in cell configuration with compact size, which can be directly used in the RF receiver circuits. To verify the RF characteristics and ESD robustness in the RF receiver, the inductor-triggered SCR has been applied to a 60-GHz low-noise amplifier (LNA). Verified in a silicon chip, the 60-GHz LNA with the inductor-triggered SCR can achieve good RF performances and high ESD robustness.</t>
  </si>
  <si>
    <t>https://ieeexplore.ieee.org/stamp/stamp.jsp?tp=&amp;arnumber=6129526</t>
  </si>
  <si>
    <t>Analysis and Design of a 60 GHz Wideband Voltage-Voltage Transformer Feedback LNA</t>
  </si>
  <si>
    <t>Pooyan Sakian, Erwin Janssen, Arthur H. M. van Roermund, Reza Mahmoudi</t>
  </si>
  <si>
    <t>To cope with the problem of instability and imperfect reverse isolation, a millimeter-wave voltage-voltage transformer feedback low noise amplifier has been analyzed, designed, and measured in CMOS 65 nm technology. Analytical formulae are derived for describing the stability, gain, and noise in this circuit topology. An analogy with the classic concept of Masons's invariant is used to illustrate how the transformer feedback provides the required reverse isolation in the LNA. Based on the developed theoretical analysis, the circuit is implemented as a fully integrated 60 GHz two-stage differential low noise amplifier in 65 nm CMOS technology. A flat gain of 10 dB is achieved over the entire 6 GHz bandwidth. The measured noise figure is 3.8 dB.</t>
  </si>
  <si>
    <t>https://ieeexplore.ieee.org/stamp/stamp.jsp?tp=&amp;arnumber=6130577</t>
  </si>
  <si>
    <t>Wideband LNA Using Active Inductor With Multiple Feed-Forward Noise Reduction Paths</t>
  </si>
  <si>
    <t>Mohsen Moezzi, M. Sharif Bakhtiar</t>
  </si>
  <si>
    <r>
      <t>In this paper, an area-efficient LNA with on-chip input matching circuit utilizing an active inductor is presented. The active inductor is implemented based on the gyrator structure and its noise is improved by employing a feed-forward path (FFP). The overall low-noise performance of the LNA is achieved by cancelling the inductor noise through an additional FFP. It is shown that the proposed LNA circuit is capable of achieving low-noise performance with wideband tuning at the input in a small die area. A 0.32- to 1-GHz LNA has been designed and fabricated in a standard 0.18-μm CMOS technology. The LNA occupies a die area of less than 0.1 mm </t>
    </r>
    <r>
      <rPr>
        <sz val="8"/>
        <color rgb="FF333333"/>
        <rFont val="Calibri"/>
        <family val="2"/>
        <scheme val="minor"/>
      </rPr>
      <t>2</t>
    </r>
    <r>
      <rPr>
        <sz val="11"/>
        <color rgb="FF333333"/>
        <rFont val="Calibri"/>
        <family val="2"/>
        <scheme val="minor"/>
      </rPr>
      <t> . The measured results show noise figure of 2.2-2.7 dB (2.2-2.4 dB for the UHF band), return loss of better than 10 dB (13 dB for the UHF band), and voltage gain of higher than 18 dB over the entire frequency band. The LNA draws 8.5 mA from a 1.8-V supply.</t>
    </r>
  </si>
  <si>
    <t>https://ieeexplore.ieee.org/stamp/stamp.jsp?tp=&amp;arnumber=6162971</t>
  </si>
  <si>
    <t>Parasitic-Insensitive Linearization Methods for 60-GHz 90-nm CMOS LNAs</t>
  </si>
  <si>
    <t>Wei-Tsung Li, Jeng-Han Tsai, Hong-Yuan Yang, et.al</t>
  </si>
  <si>
    <r>
      <t>Two </t>
    </r>
    <r>
      <rPr>
        <i/>
        <sz val="11"/>
        <color rgb="FF333333"/>
        <rFont val="Calibri"/>
        <family val="2"/>
        <scheme val="minor"/>
      </rPr>
      <t>V</t>
    </r>
    <r>
      <rPr>
        <sz val="11"/>
        <color rgb="FF333333"/>
        <rFont val="Calibri"/>
        <family val="2"/>
        <scheme val="minor"/>
      </rPr>
      <t>-band low-noise amplifiers (LNAs) with excellent linearity and noise figure (NF) using 90-nm CMOS technology are demonstrated in this paper, employing parasitic-insensitive linearization topologies, i.e., cascode and common source, for comparative purposes. To improve the linearity without deteriorating the NF, the 54-69-GHz cascode LNA is linearized by the body-biased post-distortion, and the 58-65-GHz common-source LNA is linearized by the distributed derivative superposition. Using these parasitic-insensitive linearization methods at millimeter-wave frequency, the cascode LNA can achieve an IIP</t>
    </r>
    <r>
      <rPr>
        <sz val="8"/>
        <color rgb="FF333333"/>
        <rFont val="Calibri"/>
        <family val="2"/>
        <scheme val="minor"/>
      </rPr>
      <t>3</t>
    </r>
    <r>
      <rPr>
        <sz val="11"/>
        <color rgb="FF333333"/>
        <rFont val="Calibri"/>
        <family val="2"/>
        <scheme val="minor"/>
      </rPr>
      <t> of 11 dBm and an NF of 3.78 dB at 68.5 GHz with a gain of 13.2 dB and 14.4-mW dc power. The common-source LNA has an IIP</t>
    </r>
    <r>
      <rPr>
        <sz val="8"/>
        <color rgb="FF333333"/>
        <rFont val="Calibri"/>
        <family val="2"/>
        <scheme val="minor"/>
      </rPr>
      <t>3</t>
    </r>
    <r>
      <rPr>
        <sz val="11"/>
        <color rgb="FF333333"/>
        <rFont val="Calibri"/>
        <family val="2"/>
        <scheme val="minor"/>
      </rPr>
      <t> of 0 dBm and an NF of 4.1 dB at 64.5 GHz with a gain of 11.3 dB and 10.8-mW dc power. To the best of our knowledge, the proposed cascode LNA has up to 11-dBm IIP</t>
    </r>
    <r>
      <rPr>
        <sz val="8"/>
        <color rgb="FF333333"/>
        <rFont val="Calibri"/>
        <family val="2"/>
        <scheme val="minor"/>
      </rPr>
      <t>3</t>
    </r>
    <r>
      <rPr>
        <sz val="11"/>
        <color rgb="FF333333"/>
        <rFont val="Calibri"/>
        <family val="2"/>
        <scheme val="minor"/>
      </rPr>
      <t> performance and the highest figure-of-merit of 156.2, among all reported </t>
    </r>
    <r>
      <rPr>
        <i/>
        <sz val="11"/>
        <color rgb="FF333333"/>
        <rFont val="Calibri"/>
        <family val="2"/>
        <scheme val="minor"/>
      </rPr>
      <t>V</t>
    </r>
    <r>
      <rPr>
        <sz val="11"/>
        <color rgb="FF333333"/>
        <rFont val="Calibri"/>
        <family val="2"/>
        <scheme val="minor"/>
      </rPr>
      <t>-band LNAs.</t>
    </r>
  </si>
  <si>
    <t>https://ieeexplore.ieee.org/stamp/stamp.jsp?tp=&amp;arnumber=6211461</t>
  </si>
  <si>
    <t>Wideband Inductorless Balun-LNA Employing Feedback for Low-Power Low-Voltage Applications</t>
  </si>
  <si>
    <t>Jusung Kim, Jose Silva-Martinez</t>
  </si>
  <si>
    <r>
      <t>A wideband inductorless low-noise-amplifier (LNA) with single-to-differential conversion for multistandard radio applications is proposed. Noise-suppressed current-mirror-based biasing is utilized to ensure stable operation under process, voltage, and temperature variations. The inherent gain of the common-source (CS) stage is re-used to boost the trans-conductance of the common-gate (CG) stage, and hence, a noise- and power-efficient design is achieved without hurting the noise and distortion cancellation properties of the CG-CS-based balun topology. The gain and phase balance is improved by employing an efficient compensation scheme. The prototype was realized in 0.13- μm CMOS, operates from 0.1 to 2 GHz, and dissipates 3 mW from 1.2-V supply while occupying a 0.075-mm </t>
    </r>
    <r>
      <rPr>
        <sz val="8"/>
        <color rgb="FF333333"/>
        <rFont val="Calibri"/>
        <family val="2"/>
        <scheme val="minor"/>
      </rPr>
      <t>2</t>
    </r>
    <r>
      <rPr>
        <sz val="11"/>
        <color rgb="FF333333"/>
        <rFont val="Calibri"/>
        <family val="2"/>
        <scheme val="minor"/>
      </rPr>
      <t> active area. The balun-LNA, including the output buffer, provides 7.6-dB maximum power gain, 4.15-dB minimum noise figure, better than -10-dB input matching, and 0.5-dBm IIP </t>
    </r>
    <r>
      <rPr>
        <sz val="8"/>
        <color rgb="FF333333"/>
        <rFont val="Calibri"/>
        <family val="2"/>
        <scheme val="minor"/>
      </rPr>
      <t>3</t>
    </r>
    <r>
      <rPr>
        <sz val="11"/>
        <color rgb="FF333333"/>
        <rFont val="Calibri"/>
        <family val="2"/>
        <scheme val="minor"/>
      </rPr>
      <t>without any on-chip inductor.</t>
    </r>
  </si>
  <si>
    <t>https://ieeexplore.ieee.org/stamp/stamp.jsp?tp=&amp;arnumber=6248188</t>
  </si>
  <si>
    <t>A Wideband Low-Power CMOS LNA With Positive–Negative Feedback for Noise, Gain, and Linearity Optimization</t>
  </si>
  <si>
    <t>Sanghyun Woo, Woonyun Kim, Chang-Ho Lee, et.al</t>
  </si>
  <si>
    <r>
      <t>A wideband common-gate (CG) low-noise amplifier (LNA) utilizing positive-negative-feedback technique is presented. The positive-negative-feedback technique boosts effective transconductance (</t>
    </r>
    <r>
      <rPr>
        <i/>
        <sz val="11"/>
        <color rgb="FF333333"/>
        <rFont val="Calibri"/>
        <family val="2"/>
        <scheme val="minor"/>
      </rPr>
      <t>G</t>
    </r>
    <r>
      <rPr>
        <sz val="11"/>
        <color rgb="FF333333"/>
        <rFont val="Calibri"/>
        <family val="2"/>
        <scheme val="minor"/>
      </rPr>
      <t> </t>
    </r>
    <r>
      <rPr>
        <sz val="8"/>
        <color rgb="FF333333"/>
        <rFont val="Calibri"/>
        <family val="2"/>
        <scheme val="minor"/>
      </rPr>
      <t>m</t>
    </r>
    <r>
      <rPr>
        <sz val="11"/>
        <color rgb="FF333333"/>
        <rFont val="Calibri"/>
        <family val="2"/>
        <scheme val="minor"/>
      </rPr>
      <t> ) and output impedance, which leads to an LNA with higher gain and lower noise figure (NF) over the previously reported amplifiers. In addition, this approach provides high linearity with an aid of third harmonic cancellation, and it breaks transconductance ( </t>
    </r>
    <r>
      <rPr>
        <i/>
        <sz val="11"/>
        <color rgb="FF333333"/>
        <rFont val="Calibri"/>
        <family val="2"/>
        <scheme val="minor"/>
      </rPr>
      <t>g</t>
    </r>
    <r>
      <rPr>
        <sz val="11"/>
        <color rgb="FF333333"/>
        <rFont val="Calibri"/>
        <family val="2"/>
        <scheme val="minor"/>
      </rPr>
      <t> </t>
    </r>
    <r>
      <rPr>
        <sz val="8"/>
        <color rgb="FF333333"/>
        <rFont val="Calibri"/>
        <family val="2"/>
        <scheme val="minor"/>
      </rPr>
      <t>m</t>
    </r>
    <r>
      <rPr>
        <sz val="11"/>
        <color rgb="FF333333"/>
        <rFont val="Calibri"/>
        <family val="2"/>
        <scheme val="minor"/>
      </rPr>
      <t> ) constriction for input matching in CG amplifiers. In this paper, linearity and output impedance improvement through the proposed technique are fully analyzed. An LNA prototype is implemented in 0.18- μm CMOS technology occupying a total area of 0.33 mm </t>
    </r>
    <r>
      <rPr>
        <sz val="8"/>
        <color rgb="FF333333"/>
        <rFont val="Calibri"/>
        <family val="2"/>
        <scheme val="minor"/>
      </rPr>
      <t>2</t>
    </r>
    <r>
      <rPr>
        <sz val="11"/>
        <color rgb="FF333333"/>
        <rFont val="Calibri"/>
        <family val="2"/>
        <scheme val="minor"/>
      </rPr>
      <t> . The implemented LNA delivers a maximum voltage gain of 21 dB, a minimum NF of 2 dB, an third-order intermodulation intercept point of -3.2 dBm, and 3.6 mW of power consumption in 300-920 MHz of 3-dB bandwidth with input matching ( </t>
    </r>
    <r>
      <rPr>
        <i/>
        <sz val="11"/>
        <color rgb="FF333333"/>
        <rFont val="Calibri"/>
        <family val="2"/>
        <scheme val="minor"/>
      </rPr>
      <t>S</t>
    </r>
    <r>
      <rPr>
        <sz val="11"/>
        <color rgb="FF333333"/>
        <rFont val="Calibri"/>
        <family val="2"/>
        <scheme val="minor"/>
      </rPr>
      <t> </t>
    </r>
    <r>
      <rPr>
        <sz val="8"/>
        <color rgb="FF333333"/>
        <rFont val="Calibri"/>
        <family val="2"/>
        <scheme val="minor"/>
      </rPr>
      <t>11</t>
    </r>
    <r>
      <rPr>
        <sz val="11"/>
        <color rgb="FF333333"/>
        <rFont val="Calibri"/>
        <family val="2"/>
        <scheme val="minor"/>
      </rPr>
      <t> &lt;; -10 dB).</t>
    </r>
  </si>
  <si>
    <t>https://ieeexplore.ieee.org/stamp/stamp.jsp?tp=&amp;arnumber=6279477</t>
  </si>
  <si>
    <t>Analysis and Design of Millimeter-Wave Low-Voltage CMOS Cascode LNA With Magnetic Coupled Technique</t>
  </si>
  <si>
    <t>Han-Chi Yeh, Chau-Ching Chiong, Sofiane Aloui, Huei Wang</t>
  </si>
  <si>
    <r>
      <t>In this paper, the design and analysis of CMOS low-noise amplifiers (LNAs) with a magnetic coupled technique in different cascode topologies are proposed. To minimize the noise figure (NF) and the supply voltage, and to guarantee large 3-dB bandwidth, transformers are designed and placed between the transistors of the cascode devices. Three low supply voltage and wideband LNAs are designed, fabricated, and tested for demonstration. The first LNA uses the magnetic coupled cascode configuration. The second LNA is consisted of magnetic coupled cascode configuration with two amplification stages. The third one-stage LNA is based on the magnetic coupled triple cascode configuration. The first LNA is designed at </t>
    </r>
    <r>
      <rPr>
        <i/>
        <sz val="11"/>
        <color rgb="FF333333"/>
        <rFont val="Calibri"/>
        <family val="2"/>
        <scheme val="minor"/>
      </rPr>
      <t>Q</t>
    </r>
    <r>
      <rPr>
        <sz val="11"/>
        <color rgb="FF333333"/>
        <rFont val="Calibri"/>
        <family val="2"/>
        <scheme val="minor"/>
      </rPr>
      <t> -band while the others are designed at </t>
    </r>
    <r>
      <rPr>
        <i/>
        <sz val="11"/>
        <color rgb="FF333333"/>
        <rFont val="Calibri"/>
        <family val="2"/>
        <scheme val="minor"/>
      </rPr>
      <t>V</t>
    </r>
    <r>
      <rPr>
        <sz val="11"/>
        <color rgb="FF333333"/>
        <rFont val="Calibri"/>
        <family val="2"/>
        <scheme val="minor"/>
      </rPr>
      <t>-band, using 90-nm low-power CMOS technology. The </t>
    </r>
    <r>
      <rPr>
        <i/>
        <sz val="11"/>
        <color rgb="FF333333"/>
        <rFont val="Calibri"/>
        <family val="2"/>
        <scheme val="minor"/>
      </rPr>
      <t>Q</t>
    </r>
    <r>
      <rPr>
        <sz val="11"/>
        <color rgb="FF333333"/>
        <rFont val="Calibri"/>
        <family val="2"/>
        <scheme val="minor"/>
      </rPr>
      <t>-band LNA has a gain of 13.8 dB and an NF of 3.8 dB at 37 GHz, with a power consumption of 18 mW at 1.2-V supply voltage. The </t>
    </r>
    <r>
      <rPr>
        <i/>
        <sz val="11"/>
        <color rgb="FF333333"/>
        <rFont val="Calibri"/>
        <family val="2"/>
        <scheme val="minor"/>
      </rPr>
      <t>V</t>
    </r>
    <r>
      <rPr>
        <sz val="11"/>
        <color rgb="FF333333"/>
        <rFont val="Calibri"/>
        <family val="2"/>
        <scheme val="minor"/>
      </rPr>
      <t>-band cascode LNA has a gain of 17 dB at 57 GHz and an NF of 4.4 dB at 59.5 GHz with a power consumption of 19.2 mW at 1.2-V supply voltage. The </t>
    </r>
    <r>
      <rPr>
        <i/>
        <sz val="11"/>
        <color rgb="FF333333"/>
        <rFont val="Calibri"/>
        <family val="2"/>
        <scheme val="minor"/>
      </rPr>
      <t>V</t>
    </r>
    <r>
      <rPr>
        <sz val="11"/>
        <color rgb="FF333333"/>
        <rFont val="Calibri"/>
        <family val="2"/>
        <scheme val="minor"/>
      </rPr>
      <t> -band triple-cascode LNA has a gain of 13.7 dB at 54 GHz and an NF of 5.3 dB at 59.5 GHz, with a power consumption of 14.4 mW at 1.2-V supply voltage. Compared with the conventional cascode LNAs, the proposed magnetic coupled cascode LNAs have better NF, larger gain bandwidth product, and lower power consumption. The use of the magnetic coupled technique in a multicascode LNA significantly improves the gain performance with a slight degradation of the NF.</t>
    </r>
  </si>
  <si>
    <t>https://ieeexplore.ieee.org/stamp/stamp.jsp?tp=&amp;arnumber=6359807</t>
  </si>
  <si>
    <t>Design of 60-GHz Low-Noise Amplifiers With Low NF and Robust ESD Protection in 65-nm CMOS</t>
  </si>
  <si>
    <t>Ming-Hsien Tsai, Shawn S. H. Hsu, Fu-Lung Hsueh, et.al</t>
  </si>
  <si>
    <t>This paper presents two 60-GHz low-noise amplifiers (LNAs) with different electrostatic (ESD) protection schemes, including the diode-based and LC-based configurations. By codesigning ESD network and input matching, both LNAs are optimized for minimum noise figure (NF) while maintaining a similar gain. Compared with the conventional double-diode approach, the proposed LC-based design uses a high current capability spiral inductor and a high breakdown voltage metal-oxide-metal capacitor as effective bidirectional ESD protection, showing much improved ESD protection level and NF under reduced power consumption. The test results demonstrate an over 8-kV human-body-model ESD level and an over 13-A very fast transmission line pulse current level for charge-device-model ESD protection. The measured NF and power gain are 5.3 dB and 17.5 dB, respectively, at 58 GHz, under a power consumption of only 18 mW. To the best of our knowledge, the LC-based ESD-protected LNA demonstrates a highest ESD protection level with a lowest NF, compared with prior arts operating at similar frequencies.</t>
  </si>
  <si>
    <t>https://ieeexplore.ieee.org/stamp/stamp.jsp?tp=&amp;arnumber=6395789</t>
  </si>
  <si>
    <t>Analysis and Design of a Reconfigurable Multimode Low-Noise Amplifier Utilizing a Multitap Transformer</t>
  </si>
  <si>
    <t>Xiaohua Yu, Nathan M. Neihart</t>
  </si>
  <si>
    <r>
      <t>This paper presents a reconfigurable multimode low-noise amplifier (LNA) capable of single-band, concurrent dual-band, and ultra-wideband operation. The multimode operation is realized by incorporating a switched multitap transformer into the input matching network of an inductively degenerated common source amplifier. The proposed LNA achieves single band matching at 2.8, 3.3, and 4.6 GHz; concurrent dual-band matching at 2.05 and 5.65 GHz; and ultra-wideband matching from 4.3 to 10.8 GHz. The power gain is 14.7-16.4 dB, noise figure is 1.9-4.7 dB, and third-order intermodulation intercept point is -2- + 0.4 dBm across all bands. The chip was fabricated in 0.13-μm CMOS, and occupies an area of 1.04 × 0.7 mm</t>
    </r>
    <r>
      <rPr>
        <sz val="8"/>
        <color rgb="FF333333"/>
        <rFont val="Calibri"/>
        <family val="2"/>
        <scheme val="minor"/>
      </rPr>
      <t>2</t>
    </r>
    <r>
      <rPr>
        <sz val="11"/>
        <color rgb="FF333333"/>
        <rFont val="Calibri"/>
        <family val="2"/>
        <scheme val="minor"/>
      </rPr>
      <t> , and has a power dissipation of 6.4 mW from a 1.2-V supply.</t>
    </r>
  </si>
  <si>
    <t>https://ieeexplore.ieee.org/stamp/stamp.jsp?tp=&amp;arnumber=6407471</t>
  </si>
  <si>
    <t>A 60-GHz CMOS Sub-Harmonic RF Receiver With Integrated On-Chip Artificial-Magnetic-Conductor Yagi Antenna and Balun Bandpass Filter for Very-Short-Range Gigabit Communications</t>
  </si>
  <si>
    <t>Hsin-Chih Kuo, Han-Lin Yue, Ya-Wen Ou, et.al</t>
  </si>
  <si>
    <r>
      <t>This paper presents a first reported 60-GHz CMOS sub-harmonic RF receiver with an integrated on-chip artificial-magnetic-conductor (AMC) Yagi antenna and a balun bandpass filter (BPF) fabricated in 90-nm technology. The on-chip antenna with an AMC structure can reduce the substrate loss and increase the antenna radiation efficiency and power gain. The on-chip balun BPF combines the integrated design of the balun and RF BPF to reduce the circuit size and the insertion loss. The sub-harmonic receiver is adopted to mitigate the dc offset problem. The probe-station based on-wafer continuous wave wireless transmission test is conducted (</t>
    </r>
    <r>
      <rPr>
        <i/>
        <sz val="11"/>
        <color rgb="FF333333"/>
        <rFont val="Calibri"/>
        <family val="2"/>
        <scheme val="minor"/>
      </rPr>
      <t>R</t>
    </r>
    <r>
      <rPr>
        <sz val="11"/>
        <color rgb="FF333333"/>
        <rFont val="Calibri"/>
        <family val="2"/>
        <scheme val="minor"/>
      </rPr>
      <t> =1 m) and the measured total receiving conversion gain CG</t>
    </r>
    <r>
      <rPr>
        <sz val="8"/>
        <color rgb="FF333333"/>
        <rFont val="Calibri"/>
        <family val="2"/>
        <scheme val="minor"/>
      </rPr>
      <t>ant+Rx</t>
    </r>
    <r>
      <rPr>
        <sz val="11"/>
        <color rgb="FF333333"/>
        <rFont val="Calibri"/>
        <family val="2"/>
        <scheme val="minor"/>
      </rPr>
      <t> and output third-order intercept point of the integrated RF receiver (with the on-chip AMC antenna and the balun BPF) are 16.2 dB and 3 dBm at 60 GHz, respectively. In error vector magnitude/bit error rate (BER) tests, the measured maximum data rate is 1.152 Gb/s in the 16QAM mode at a 25-cm wireless link (transmitting EIRP=23 dBm ) approximately with a BER of 10</t>
    </r>
    <r>
      <rPr>
        <sz val="8"/>
        <color rgb="FF333333"/>
        <rFont val="Calibri"/>
        <family val="2"/>
        <scheme val="minor"/>
      </rPr>
      <t>-3</t>
    </r>
    <r>
      <rPr>
        <sz val="11"/>
        <color rgb="FF333333"/>
        <rFont val="Calibri"/>
        <family val="2"/>
        <scheme val="minor"/>
      </rPr>
      <t>. The presented integrated RF receiver will be very useful for the design of a 60-GHz fully integrated CMOS single-chip radio for very-short-range communication applications.</t>
    </r>
  </si>
  <si>
    <t>https://ieeexplore.ieee.org/stamp/stamp.jsp?tp=&amp;arnumber=6476761</t>
  </si>
  <si>
    <t>Ultra-Low-Power Cascaded CMOS LNA With Positive Feedback and Bias Optimization</t>
  </si>
  <si>
    <t>Mu-Tsung Lai, Hen-Wai Tsao</t>
  </si>
  <si>
    <r>
      <t>A novel circuit topology for a CMOS low-noise amplifier (LNA) is presented in this paper. By employing a positive feedback technique at the common-source transistor of the cascade stage, the voltage gain can be enhanced. In addition, with the MOS transistors biased in the moderate inversion region, the proposed LNA circuit is well suited to operate at reduced power consumption and supply voltage conditions. Utilizing a standard 0.18-μm CMOS process, the CMOS LNA has been demonstrated for 5-GHz frequency band applications. Operated at a supply voltage of 0.6 V, the LNA with the gain-boosting technique achieves a gain of 13.92 dB and a noise figure of 3.32 dB while consuming a dc power of 834 μW. The measured </t>
    </r>
    <r>
      <rPr>
        <i/>
        <sz val="11"/>
        <color rgb="FF333333"/>
        <rFont val="Calibri"/>
        <family val="2"/>
        <scheme val="minor"/>
      </rPr>
      <t>P</t>
    </r>
    <r>
      <rPr>
        <sz val="11"/>
        <color rgb="FF333333"/>
        <rFont val="Calibri"/>
        <family val="2"/>
        <scheme val="minor"/>
      </rPr>
      <t> </t>
    </r>
    <r>
      <rPr>
        <sz val="8"/>
        <color rgb="FF333333"/>
        <rFont val="Calibri"/>
        <family val="2"/>
        <scheme val="minor"/>
      </rPr>
      <t>1-dB</t>
    </r>
    <r>
      <rPr>
        <sz val="11"/>
        <color rgb="FF333333"/>
        <rFont val="Calibri"/>
        <family val="2"/>
        <scheme val="minor"/>
      </rPr>
      <t> and input third-order intercept point are -22.2 and -11.5 dBm, respectively</t>
    </r>
  </si>
  <si>
    <t>https://ieeexplore.ieee.org/stamp/stamp.jsp?arnumber=6502754</t>
  </si>
  <si>
    <t>**(This LNA has two modes of operation as included here)</t>
  </si>
  <si>
    <t>65-nm CMOS Dual-Gate Device for Ka-Band Broadband Low-Noise Amplifier and High-Accuracy Quadrature Voltage-Controlled Oscillator</t>
  </si>
  <si>
    <t>Hong-Yeh Chang, Chi-Hsien Lin, Yu-Cheng Liu, et.al</t>
  </si>
  <si>
    <r>
      <t>Design and analysis of a two-stage low-noise amplifier (LNA) and a bottom-series coupled quadrature voltage-controlled oscillator (QVCO) using a 65-nm CMOS dual-gate device are present in this paper. By using the proposed dual-gate device, the parasitic capacitance and the effective substrate resistance can be reduced. Moreover, the 3-dB cutoff frequency can be extended due to the reduction of the Miller effect. The bandwidth of the dual-gate LNA is investigated to compare with the conventional cascode configuration. Besides, the operation principle of the quadrature signal generation using the dual-gate device is also presented for the QVCO design. The two-stage dual-gate LNA demonstrates a flat 3-dB bandwidth of 7.3 GHz from 19.4 to 26.7 GHz and a maximum gain of 18.9 dB. At 24 GHz, the measured minimum noise figure is 4.7 dB, and the measured output third-order intercept point (OIP </t>
    </r>
    <r>
      <rPr>
        <sz val="8"/>
        <color rgb="FF333333"/>
        <rFont val="Calibri"/>
        <family val="2"/>
        <scheme val="minor"/>
      </rPr>
      <t>3</t>
    </r>
    <r>
      <rPr>
        <sz val="11"/>
        <color rgb="FF333333"/>
        <rFont val="Calibri"/>
        <family val="2"/>
        <scheme val="minor"/>
      </rPr>
      <t> ) is 11 dBm. The dual-gate QVCO exhibits an oscillation frequency of up to 25.3 GHz, a phase noise of -109 dBc/Hz at 1-MHz offset frequency, an amplitude error of 0.16 dB, and a phase error of 0.8 </t>
    </r>
    <r>
      <rPr>
        <sz val="8"/>
        <color rgb="FF333333"/>
        <rFont val="Calibri"/>
        <family val="2"/>
        <scheme val="minor"/>
      </rPr>
      <t>°</t>
    </r>
    <r>
      <rPr>
        <sz val="11"/>
        <color rgb="FF333333"/>
        <rFont val="Calibri"/>
        <family val="2"/>
        <scheme val="minor"/>
      </rPr>
      <t> . The proposed dual-gate CMOS device is very suitable for the linear and nonlinear circuit designs above 20 GHz, especially for millimeter-wave applications due to its high speed and compact area.</t>
    </r>
  </si>
  <si>
    <t>https://ieeexplore.ieee.org/stamp/stamp.jsp?tp=&amp;arnumber=6514132</t>
  </si>
  <si>
    <t>Demonstration of a Micro-Integrated Sub-Millimeter-Wave Pixel</t>
  </si>
  <si>
    <t>Vesna Radisic, Kevin Leong, Chunbo Zhang, et.al</t>
  </si>
  <si>
    <t>https://ieeexplore.ieee.org/stamp/stamp.jsp?tp=&amp;arnumber=6563110</t>
  </si>
  <si>
    <t>A 3.8-mW 3.5–4-GHz Regenerative FM-UWB Receiver With Enhanced Linearity by Utilizing a Wideband LNA and Dual Bandpass Filters</t>
  </si>
  <si>
    <t>Fei Chen, Wei Zhang, Woogeun Rhee, et.al</t>
  </si>
  <si>
    <t>A low-power regenerative frequency-modulated ultra-wideband (FM-UWB) receiver with wideband signal reception and linear FM-AM conversion is implemented in 65-nm CMOS for short-range communication systems. Different from the conventional regenerative FM-UWB receiver having the narrowband low-noise amplifier (LNA), the proposed receiver employs a wideband LNA and dual bandpass filters (BPFs) to improve the robustness against narrowband interference and frequency shift-keying demodulation with a relaxed Q requirement of the BPF. A 3.5-4-GHz FM-UWB receiver consisting of a stacked LNA, dual BPFs, two envelop detectors, and a subtractor successfully performs FM demodulation through wireless transmission from a 100-kb/s FM-UWB transmitter, consuming the total power of 3.8 mW.</t>
  </si>
  <si>
    <t>https://ieeexplore.ieee.org/stamp/stamp.jsp?tp=&amp;arnumber=6581924</t>
  </si>
  <si>
    <t>Two CMOS Dual-Feedback Common-Gate Low-Noise Amplifiers With Wideband Input and Noise Matching</t>
  </si>
  <si>
    <t>Rong-Fu Ye, Tzyy-Sheng Horng, Jian-Ming Wu</t>
  </si>
  <si>
    <t>This paper presents two CMOS common-gate (CG) low-noise amplifiers (LNAs) using different dual-feedback techniques, significantly reducing noise figure (NF) to around 2 dB over a wide frequency range. The proposed first CG LNA uses gm-boosted feedback and shunt-series transformer feedback to relieve the tradeoff between input and noise matching. The proposed second CG LNA further extends the input matching bandwidth by using gm-boosted feedback and shunt-shunt transformer feedback. Moreover, the transformer used for feedback in both CG LNAs causes gain peaking and thus a considerable increase of 3-dB gain bandwidth. After implementation in a 0.18- μm CMOS process, the first and second CG LNAs achieve an NF of 1.9-2.6 dB over a 3-dB gain bandwidth of 7 and 10 GHz, respectively. The comparison between simulated and measured results shows a good agreement.</t>
  </si>
  <si>
    <t>https://ieeexplore.ieee.org/stamp/stamp.jsp?tp=&amp;arnumber=6582696</t>
  </si>
  <si>
    <t>A CMOS Wideband Highly Linear Low-Noise Amplifier for Digital TV Applications</t>
  </si>
  <si>
    <t>Jeong-Yeol Bae, Suna Kim, Hong-Soo Cho, et.al</t>
  </si>
  <si>
    <t>This paper presents a highly linear wideband differential low-noise amplifier (LNA) for digital TV applications. The proposed LNA is a modified version of the wideband LNA reported by Bruccoleri in 2004. In order to increase the linearity of Bruccoleri 's LNA, the Volterra series is adopted to identify the nonlinear components and the noise-cancelling circuit is modified to eliminate the whole nonlinear components. Implemented in 0.13-μm CMOS technology, the proposed wideband LNA has a gain of 12.4 dB and a noise figure of 1.6 dB, as determined from measurements, while drawing 18.45 mA from a 1.2-V supply. The proposed LNA has an IIP3 of 16.6 dBm with 6-MHz frequency offset at 100 MHz, far exceeding the values of existing wideband LNAs.</t>
  </si>
  <si>
    <t>https://ieeexplore.ieee.org/stamp/stamp.jsp?tp=&amp;arnumber=6585781</t>
  </si>
  <si>
    <t>A CMOS 77-GHz Receiver Front-End for Automotive Radar</t>
  </si>
  <si>
    <t>Viet Hoang Le, Hoa Thai Duong, Anh Trong Huynh, et.al</t>
  </si>
  <si>
    <t>This paper presents the design of a receiver (Rx) front-end for automotive radar application operating at 76-77 GHz. The Rx employs a double conversion architecture, which consists of a five-stage low-noise amplifier (LNA), a sub-harmonic mixer (SHM), and a double-balanced passive mixer (PSM). By adopting this architecture, millimeter-wave frequency synthesizer design can be relaxed. In the LNA layout, the output of each stage is positioned close to the input of the follow stage, thus creating a LC resonance load. As a result, complex interstage matching networks is simplified. The SHM driven by a 38-GHz local oscillator (LO) is adopted to avoid push/pull effect and power consumption of the voltage-controlled oscillator. A PSM is utilized for the second conversion since it consumes no dc current and has low flickering noise. To connect the singled-ended LNA and SHM, a 77-GHz balun is designed; and for driving the SHM, two 38-GHz baluns and an in-phase/quadrature coupler to provide quadrature 38-GHz LO are designed. The proposed Rx is implemented in a 65-nm CMOS technology and measurement results show 16-dB voltage gain and 13-dB calculated noise figure while dissipating 23.5 mA from a black 1.2-V supply.</t>
  </si>
  <si>
    <t>https://ieeexplore.ieee.org/stamp/stamp.jsp?tp=&amp;arnumber=6590027</t>
  </si>
  <si>
    <t>A Concurrent Tri-Band Low-Noise Amplifier With a Novel Tri-Band Load Resonator Employing Feedback Notches</t>
  </si>
  <si>
    <t>Jaeyoung Lee, Cam Nguyen</t>
  </si>
  <si>
    <t>A concurrent tri-band low-noise amplifier (LNA) with a novel feedback tri-band load has been designed around 13.5/24/35 GHz. The feedback tri-band load is composed of two passive LC notch filters with feedback and provides stable and high stopband rejection especially needed in multiband components. It overcomes the dependency of stopband rejection performance on the low quality factor of integrated passive inductors. The comparative analysis and comprehensive design principles of the conventional, modified, and new feedback tri-band loads are presented. The concurrent tri-band LNA has been fabricated in a 0.18- μm SiGe BiCMOS process and occupies an area of 1180 μm × 500 μm. The measured power gains are 22.4/23.7/20.2 dB at 13.5/24/35 GHz, respectively, with 36-mW power consumption from a 1.8-V supply. The tri-band LNA achieves the best noise figure (NF) of 3.4/3.2/3.7 dB and IIP3 of -13.5/ -17.1/ -16.1 dBm at the respective passbands. The tri-band LNA also attains less than 3.5-dB gain imbalance and 41/30-dB stopband rejection ratios in the low/high stopbands, respectively. The developed concurrent tri-band LNA achieves the lowest NF as well as the best stopband rejection ratios among the reported concurrent tri-band LNAs.</t>
  </si>
  <si>
    <t>https://ieeexplore.ieee.org/stamp/stamp.jsp?tp=&amp;arnumber=6657787</t>
  </si>
  <si>
    <t>MOST Moderate–Weak-Inversion Region as the Optimum Design Zone for CMOS 2.4-GHz CS-LNAs</t>
  </si>
  <si>
    <t>Rafaella Fiorelli, Fernando Silveira, Eduardo Peral´ıas</t>
  </si>
  <si>
    <t>https://ieeexplore.ieee.org/stamp/stamp.jsp?tp=&amp;arnumber=6736135</t>
  </si>
  <si>
    <t>In this paper, the MOS transistor (MOST) moderate-inversion (MI)-weak-inversion (WI) region is shown to be the optimum design zone for CMOS 2.4-GHz common-source low-noise amplifiers (CS-LNAs) focused on low power consumption applications. This statement is supported by a systematic study where the MOST is analyzed in all-inversion regions using an exhaustive CS-LNA noise-figure (NF)-power-consumption optimization technique with power gain constraint. Effects of bias choke resistance and MOST capacitances are carefully included in the study to obtain more accurate results, especially for the MI-WI region. NF, power consumption, and gain versus the inversion region are described with design space maps, providing the designer with a deep insight of their tradeoffs. The Pareto-optimal design frontier obtained by calculation-showing the MI-WI region as the optimum design zone-is reverified by extensive electrical simulations of a high number of designs. Finally, one 90-nm 2.4-GHz CS-LNA Pareto optimal design is implemented. It achieves the best figure of merit considering under-milliwatt CS-LNAs published designs, consuming 684 μW, an NF of 4.36 dB, a power gain of 9.7 dB, and a third-order intermodulation intercept point of -4 dBm with load and source resistances of 50 Ω.</t>
  </si>
  <si>
    <t>X- and K-Band SiGe HBT LNAs With 1.2- and 2.2-dB Mean Noise Figures</t>
  </si>
  <si>
    <t>Tumay Kanar, Gabriel M. Rebeiz</t>
  </si>
  <si>
    <r>
      <t>This paper presents low-noise amplifiers (LNA) at X- and K-band frequencies in a 0.18- μm SiGe HBT technology. A method of noise match optimization with respect to base inductance in SiGe LNA design with large transistors is proposed. The measured X- and K-band LNAs result in 1.2- and 2.2-dB mean noise figure in their frequency bands, with an associated peak gain of 24.2 and 19 dB at 8.5 and 19.5 GHz, respectively. The measured IIP </t>
    </r>
    <r>
      <rPr>
        <sz val="8"/>
        <color rgb="FF333333"/>
        <rFont val="Calibri"/>
        <family val="2"/>
        <scheme val="minor"/>
      </rPr>
      <t>3</t>
    </r>
    <r>
      <rPr>
        <sz val="11"/>
        <color rgb="FF333333"/>
        <rFont val="Calibri"/>
        <family val="2"/>
        <scheme val="minor"/>
      </rPr>
      <t> is -11 and -4 dBm at 10 and 20 GHz, for a power consumption of 32.8 mW (X-band LNA) and 22.5 mW (K-band LNA). To the authors' best knowledge, these results outperform all available CMOS designs and achieve the lowest mean noise figure at X- and K-bands in any SiGe or CMOS process. The main application areas are in low-noise receivers for terrestrial communication systems and low-cost radars.</t>
    </r>
  </si>
  <si>
    <t>https://ieeexplore.ieee.org/stamp/stamp.jsp?tp=&amp;arnumber=6870461</t>
  </si>
  <si>
    <t>Area [mm^2] with pads</t>
  </si>
  <si>
    <t>review papers before 01/08/2014 for FOM and editing (TMTT)</t>
  </si>
  <si>
    <t>Design of ESD Protection Diodes With Embedded SCR for Differential LNA in a 65-nm CMOS Process</t>
  </si>
  <si>
    <t>Chun-Yun Lin,Mei-Lian Fan</t>
  </si>
  <si>
    <t>The pin-to-pin electrostatic discharge (ESD) issue for a differential low-noise amplifier (LNA) was studied in this work. A new design of ESD protection diodes with an embedded silicon-controlled rectifier (SCR) was proposed to protect the gigahertz differential LNA. The proposed ESD protection design was modified from the conventional ESD protection design without adding any extra device. The SCR path was established directly from one differential input pad to the other differential input pad so the pin-to-pin ESD robustness can be improved. This design had been verified in a 65-nm CMOS process. Besides, this design had been further applied to a 24-GHz LNA in the same 65-nm CMOS process. Experimental results had shown that the proposed ESD protection design for the differential LNA can achieve excellent ESD robustness and good RF performances.</t>
  </si>
  <si>
    <t>https://ieeexplore.ieee.org/stamp/stamp.jsp?tp=&amp;arnumber=6906306</t>
  </si>
  <si>
    <t>A 2.88 mW+9.06 dBm IIP3 Common-Gate LNA With Dual Cross-Coupled Capacitive Feedback</t>
  </si>
  <si>
    <t>Hong Gul Han, Doo Hwan Jung, Tae Wook Kim</t>
  </si>
  <si>
    <r>
      <t>A CMOS common-gate low noise amplifier (LNA) with dual cross coupled capacitive feedback is proposed. The first feedback loop is designed for transcoductance (g </t>
    </r>
    <r>
      <rPr>
        <sz val="8"/>
        <color rgb="FF333333"/>
        <rFont val="Calibri"/>
        <family val="2"/>
        <scheme val="minor"/>
      </rPr>
      <t>m</t>
    </r>
    <r>
      <rPr>
        <sz val="11"/>
        <color rgb="FF333333"/>
        <rFont val="Calibri"/>
        <family val="2"/>
        <scheme val="minor"/>
      </rPr>
      <t> ) boosting which is widely known as the cross-coupled common gate (CCCG) topology. The other feedback loop is voltage-current feedback by cross-coupling between the drain node and the source node in the common gate topology. In particular, the first feedback loop is able to reduce the amplification of a second-order signal while it boosts the transconductance of a fundamental signal thus, it can reduce the second order harmonic feedback effect to the input-referred third-order intercept point (IIP3) which is one of the major bottlenecks of linearity enhancement using feedback. As the first feedback removes second-order harmonic distortion, the second feedback successfully enhances IIP3. The proposed LNA achieves excellent performance with low power consumption. The LNA is implemented with a 0.13 μm CMOS process and measured. The measurement results demonstrate a gain of 18 dB, a noise figure (NF) of 1.94 dB, an IIP3 of 9.06 dBm, an input matching (S11)/output matching (S22) of less than -10 dB at 900 MHz, and a power consumption of 2.4 mA with 1.2 V supply voltage.</t>
    </r>
  </si>
  <si>
    <t>https://ieeexplore.ieee.org/stamp/stamp.jsp?tp=&amp;arnumber=6987371</t>
  </si>
  <si>
    <t>Pdc(mW)</t>
  </si>
  <si>
    <t>Transformer-Feedback Interstage Bandwidth Enhancement for MMIC Multistage Amplifiers</t>
  </si>
  <si>
    <t>Gholamreza Nikandish, Ali Medi</t>
  </si>
  <si>
    <t>The transformer-feedback (TRFB) interstage bandwidth enhancement technique for broadband multistage amplifiers is presented. Theory of the TRFB bandwidth enhancement and the design conditions for maximum bandwidth, maximally flat gain, and maximally flat group delay are provided. It is shown that the TRFB bandwidth enhancement can provide higher bandwidth compared to the conventional techniques based on reactive impedance matching networks. A three-stage low-noise amplifier (LNA) monolithic microwave integrated circuit with the TRFB between its consecutive stages is designed and implemented in a 0.1- μm GaAs pHEMT process. The TRFB is realized by coupling between the drain bias lines of transistors. The reuse of bias lines leads to bandwidth enhancement without increasing the chip area and power consumption. The LNA features average gain of 23 dB and 3-dB bandwidth of 11-39 GHz. It provides a noise figure of 2.1-3.0 dB and an output 1-dB compression point of 8.6 dBm, while consuming 40 mA of current from a 2-V supply.</t>
  </si>
  <si>
    <t>https://ieeexplore.ieee.org/stamp/stamp.jsp?tp=&amp;arnumber=7000570</t>
  </si>
  <si>
    <t>Millimeter-Wave Low-Noise Amplifier Design in 28-nm Low-Power Digital CMOS</t>
  </si>
  <si>
    <t>David Fritsche, Gregor Tretter, Corrado Carta, Frank Ellinger</t>
  </si>
  <si>
    <t>This paper presents the design of a 60-GHz low-noise amplifier (LNA) in a 28-nm low-power (LP) bulk CMOS process. As the technology is optimized for digital LP applications, the design of millimeter-wave (mm-wave) circuits requires high-frequency design and modeling of all active and passive devices. This includes the development of a suitable RF-transistor layout, as well as transmission lines and high- Q capacitors. The mm-wave circuit design aspects are further discussed with considerations about possible dc-distribution approaches, broadband matching networks, and optimum transistor loads. The proposed approach and device models have been validated with the fabrication and characterization of a two-stage 60-GHz LNA. This circuit exhibits 13.8 dB of power gain, 18 GHz of bandwidth, 4 dB of minimum noise figure, and an input referred 1-dB compression point at -12.5 dBm consuming 24 mW of dc power. Based on this performance and to the authors' best knowledge, the presented amplifier shows the highest reported value for a commonly used figure-of-merit of 60-GHz LNAs.</t>
  </si>
  <si>
    <t>https://ieeexplore.ieee.org/stamp/stamp.jsp?tp=&amp;arnumber=7105428</t>
  </si>
  <si>
    <t>where F=noise factor</t>
  </si>
  <si>
    <t>GaN HEMT Noise Model Based on Electromagnetic Simulations</t>
  </si>
  <si>
    <t>Andrea Nalli, Antonio Raffo, Giovanni Crupi, et.al</t>
  </si>
  <si>
    <t>This paper presents a new approach for the definition and identification of a transistor model suitable for low-noise amplifier (LNA) design. The resulting model is very robust to layout modifications (i.e., source degeneration) providing accurate predictions of device noise-performance and small-signal parameters. Moreover, the described procedure is very robust since it does not require any numerical optimization, with possibly related problems like local minima and unphysical model parameters. The adopted model topology is based on a lumped element parasitic network and a black-box intrinsic device, which are both identified on the basis of full-wave electromagnetic simulations, as well as noise and S-parameter measurements. The procedure has been applied to three GaN HEMTs having different peripheries and a Ku-band LNA has been designed, demonstrating a very good agreement between measurements and predicted results.</t>
  </si>
  <si>
    <t>https://ieeexplore.ieee.org/stamp/stamp.jsp?tp=&amp;arnumber=7153571</t>
  </si>
  <si>
    <t>Silicon-Based True-Time-Delay Phased-Array Front-Ends at Ka-Band</t>
  </si>
  <si>
    <t>Qian Ma, Domine M. W. Leenaerts, Peter G. M. Baltus</t>
  </si>
  <si>
    <r>
      <t>A high-power and a low-power fully integrated true-time-delay (TTD) phased-array receiver front-end have been developed for Ka-band applications using a 0.25- μm SiGe:C BiCMOS technology. The high-power front-end, consisting of a high-power low-noise amplifier (LNA) and an active TTD phase shifter, achieves 13.8±1.3 dB gain and a noise figure (NF) below 3.1 dB at 30 GHz. The front-end provides 17.8-ps continuous variable delay, with 3.5% normalized delay variation (NDV) over a 22-37-GHz frequency span. The low-power front-end, composed of a low-power LNA and a passive TTD phase shifter, achieves 14.8±3 dB gain and an NF below 3.2 dB at 30 GHz. The low-power front-end offers 22-ps continuous variable delay with only 5.5% NDV over a 24-40-GHz frequency span. The low-power front-end consumes 22.5-mW power and presents an overall input 1-dB compression point ( P 1 dB) and input third-order intercept point (IIP3) of -22 and -13.8 dBm, respectively. Depending on the linearity requirements, the high-power front-end can operate in dual-power modes. In the high-power (low-power) mode, the measured worst case input P 1 dB and IIP3 are -15.8 ( -18 dBm) and -9 dBm ( -12 dBm) at 30 GHz with an averaged power consumption per channel of 269 mW (111 mW) for similar TTD and gain performance. The core area of the high-power and low-power front-ends are 0.31 and 0.48 mm </t>
    </r>
    <r>
      <rPr>
        <sz val="8"/>
        <color rgb="FF333333"/>
        <rFont val="Calibri"/>
        <family val="2"/>
        <scheme val="minor"/>
      </rPr>
      <t>2</t>
    </r>
    <r>
      <rPr>
        <sz val="11"/>
        <color rgb="FF333333"/>
        <rFont val="Calibri"/>
        <family val="2"/>
        <scheme val="minor"/>
      </rPr>
      <t> , respectively.</t>
    </r>
  </si>
  <si>
    <t>https://ieeexplore.ieee.org/stamp/stamp.jsp?tp=&amp;arnumber=7181729</t>
  </si>
  <si>
    <t>A Low Switching-Loss W-Band Radiometer Utilizing a Single-Pole-Double-Throw Distributed Amplifier in 0.13-μmSiGe BiCMOS</t>
  </si>
  <si>
    <t>Xiaojun Bi, M. Annamalai. Arasu, Yao Zhu, Minkyu Je</t>
  </si>
  <si>
    <t>This paper presents a low switching-loss Dicke radiometer for W-band passive imaging systems. The equivalent switching loss introduced by the passive single-pole-double-throw (SPDT) switch in the conventional radiometer is significantly reduced by the proposed single-pole-double-throw distributed amplifier (SPDT-DA), which leads to radical improvement on the receiver's noise performance. The Dicke radiometer consisting of a SPDT-DA, a four-stage low noise amplifier (LNA) and a power detector is fully integrated in a 0.13- μm SiGe BiCMOS chip. With the 0.93-dB equivalent switching loss at 91 GHz of the SPDT-DA, the total noise figure (NF) of 8.4 dB at 91 GHz is achieved by the SPDT-DA followed by the LNA. With a power consumption of 28.5 mW, the radiometer obtains an overall RF gain of 42 dB and a noise equivalent temperature difference (NETD) of 0.21 K with 30-ms integration time. The two-dimensional imaging experiment with object distance of 0.7 m is successfully carried out with the radiometer chip.</t>
  </si>
  <si>
    <t>https://ieeexplore.ieee.org/stamp/stamp.jsp?tp=&amp;arnumber=7355402</t>
  </si>
  <si>
    <t>Design Optimization of Single-/Dual-Band FET LNAs Using Noise Transformation Matrix</t>
  </si>
  <si>
    <t>Yu-Chih Hsiao, Chinchun Meng, Chun Yang</t>
  </si>
  <si>
    <t>This paper describes the design optimization of single- and dual-band inductively source degenerated field-effect transistor low-noise amplifiers (LNAs) using an analytical formula of noise parameters derived through a noise transformation matrix. The dual-band LNA design can be directly expanded from the single-band LNA design using a noise transformation matrix. The derived noise formulas of LNAs reveal that a simultaneous noise and input match (SNIM) can be obtained at a single frequency for a single-band LNA. For a concurrent dual-band LNA, the simultaneous noise match cannot be achieved at two different operating frequencies and thus a balanced design in noise performance is developed using a noise transformation matrix. This paper demonstrates a 5-GHz single-band and a 2.4/5-GHz concurrent dual-band two-stage single-voltage-supply LNA using 0.15- μm depletion-mode pseudomorphic HEMT technology to verify design methodology. The inductively source-degenerated common-source amplifier is applied at the input stage. The 5-GHz common-source common-drain (CS-CD) LNA shows 1.4-dB noise figure (NF) with an SNIM. Moreover, the 2.4/5-GHz CS-CD concurrent dual-band LNA has a balanced noise performance of 2.2-dB NF at 2.4 GHz and 2.0-dB NF at 5 GHz, respectively.</t>
  </si>
  <si>
    <t>https://ieeexplore.ieee.org/stamp/stamp.jsp?tp=&amp;arnumber=7365490</t>
  </si>
  <si>
    <t>**(This is a dualband LNA)</t>
  </si>
  <si>
    <t>A Low-Power 136-GHz SiGe Total Power Radiometer With NETD of 0.25 K</t>
  </si>
  <si>
    <r>
      <t>This paper presents a low-noise SiGe radiometer at 136 GHz developed in an IBM 90-nm SiGe BiCMOS technology. The radiometer consists of a three-stage cascode low-noise amplifier with a gain of 36 dB, and a differential output square-law detector, all on a single chip. The detector results in responsivity of 11 kV/W and a noise equivalent power (NEP) of 0.6 pW/Hz </t>
    </r>
    <r>
      <rPr>
        <sz val="8"/>
        <color rgb="FF333333"/>
        <rFont val="Calibri"/>
        <family val="2"/>
        <scheme val="minor"/>
      </rPr>
      <t>1/2</t>
    </r>
    <r>
      <rPr>
        <sz val="11"/>
        <color rgb="FF333333"/>
        <rFont val="Calibri"/>
        <family val="2"/>
        <scheme val="minor"/>
      </rPr>
      <t> at D-band frequencies. The radiometer chip consumes 45 mW and results in a minimum NEP of 1.4 fW/Hz </t>
    </r>
    <r>
      <rPr>
        <sz val="8"/>
        <color rgb="FF333333"/>
        <rFont val="Calibri"/>
        <family val="2"/>
        <scheme val="minor"/>
      </rPr>
      <t>1/2</t>
    </r>
    <r>
      <rPr>
        <sz val="11"/>
        <color rgb="FF333333"/>
        <rFont val="Calibri"/>
        <family val="2"/>
        <scheme val="minor"/>
      </rPr>
      <t> with a peak responsivity of 52 MV/W at 136 GHz. The single-chip radiometer is suitable for high-resolution imaging systems having a noise bandwidth &gt; 10 GHz and a low 1/f corner frequency . For an integration time of 3.125 mS (τ = 3.125 mS), the temperature resolution [noise equivalent temperature difference (NETD)] is determined to be 0.25 K using several different independent methods, and is the lowest NETD demonstrated in silicon technologies at D-band frequencies. This state-of-the-art performance is comparable to the best III-V imaging systems and proves that the advanced SiGe technology is a reliable option for imaging and radiometry applications.</t>
    </r>
  </si>
  <si>
    <t>https://ieeexplore.ieee.org/stamp/stamp.jsp?tp=&amp;arnumber=7406756</t>
  </si>
  <si>
    <t>A 102–129-GHz 39-dB Gain 8.4-dB Noise Figure I/Q Receiver Frontend in 28-nm CMOS</t>
  </si>
  <si>
    <t>Tom Heller, Emanuel Cohen, Eran Socher</t>
  </si>
  <si>
    <t>An F-band in-phase/quadrature-phase (I/Q) receiver front-end in 28-nm CMOS for chip-to-chip communication is presented. The receiver consists of a capacitively neutralized differential low-noise amplifier (LNA) chain, a passive ring mixer, zero-IF drivers, and a novel tunable transformer-based quadrature splitter. This paper discusses the effect of capacitive neutralization on common-mode stability, matching losses, and the noise performance of a differential pair. A technique for gain and noise-figure optimization by core sizing and partial neutralization is presented. The receiver exhibits a gain of 39 dB, a 3-dB RF bandwidth of 27 GHz, a noise figure between 8.4 and 10.4 dB, and a P1 dB of 3.2 dBm. The receiver front-end consumes 18 mW from a 1.0-V supply and the baseband I and Q buffers consume a total of 33 mW from a 1.5-V supply. A breakout of the LNA shows a measured gain of 21 dB, a noise figure of 8.0-9.4 dB, with a gain power efficiency of 1.2 dB/mW around 125 GHz.</t>
  </si>
  <si>
    <t>https://ieeexplore.ieee.org/stamp/stamp.jsp?tp=&amp;arnumber=7452667</t>
  </si>
  <si>
    <t>An Ultra-Low-Power Wideband Inductorless CMOS LNA With Tunable Active Shunt-Feedback</t>
  </si>
  <si>
    <r>
      <t>Mahdi Parvizi,</t>
    </r>
    <r>
      <rPr>
        <sz val="11"/>
        <color theme="1"/>
        <rFont val="Calibri"/>
        <family val="2"/>
        <scheme val="minor"/>
      </rPr>
      <t> Karim Allidina, Mourad N. El-Gamal</t>
    </r>
  </si>
  <si>
    <r>
      <t>This work presents and analyzes the design of a 1-V ultra-low power, compact, and wideband low-noise amplifier (LNA). The proposed LNA uses common-gate (CG) NMOS and PMOS transistors as input devices in a complementary current-reuse structure. Low power input matching is achieved by employing an active shunt-feedback architecture while the current of the feedback stage is also reused by the input transistor to improve the current efficiency of the LNA. A forward body biasing (FBB) scheme is exploited to tune the feedback coefficient. The complementary characteristics of the input stage leads to partial second-order distortion cancellation. The proposed inductorless LNA is implemented in an IBM 0.13-μm 1P8M CMOS technology and occupies only 0.0052 mm </t>
    </r>
    <r>
      <rPr>
        <sz val="8"/>
        <color rgb="FF333333"/>
        <rFont val="Calibri"/>
        <family val="2"/>
        <scheme val="minor"/>
      </rPr>
      <t>2</t>
    </r>
    <r>
      <rPr>
        <sz val="11"/>
        <color rgb="FF333333"/>
        <rFont val="Calibri"/>
        <family val="2"/>
        <scheme val="minor"/>
      </rPr>
      <t> . The measured LNA has a 12.3-dB gain 4.9-dB minimum noise figure (NF) input referred third-order intercept point (IIP3) of -10 dBm and 0.1-2.2-GHz bandwidth (BW), while consuming only 400 μA from a 1-V supply.</t>
    </r>
  </si>
  <si>
    <t>https://ieeexplore.ieee.org/stamp/stamp.jsp?tp=&amp;arnumber=7475943</t>
  </si>
  <si>
    <t xml:space="preserve"> </t>
  </si>
  <si>
    <t>A Transformer FeedbackGm-Boosting Technique for Gain Improvement and Noise Reduction in mm-Wave Cascode LNAs</t>
  </si>
  <si>
    <r>
      <t xml:space="preserve">Shita Guo, </t>
    </r>
    <r>
      <rPr>
        <sz val="11"/>
        <color theme="1"/>
        <rFont val="Calibri"/>
        <family val="2"/>
        <scheme val="minor"/>
      </rPr>
      <t>Tianzuo Xi, Ping Gui, Daquan Huang, et.al</t>
    </r>
  </si>
  <si>
    <r>
      <t>This paper presents the analysis and design of a novel topology of a low-noise amplifier (LNA) with gain improvement and noise reduction simultaneously. A transformer feedback g </t>
    </r>
    <r>
      <rPr>
        <sz val="8"/>
        <color rgb="FF333333"/>
        <rFont val="Calibri"/>
        <family val="2"/>
        <scheme val="minor"/>
      </rPr>
      <t>m</t>
    </r>
    <r>
      <rPr>
        <sz val="11"/>
        <color rgb="FF333333"/>
        <rFont val="Calibri"/>
        <family val="2"/>
        <scheme val="minor"/>
      </rPr>
      <t> -boosting technique is proposed in a single-ended cascode topology to increase the gain and reduce the noise. The proposed technique is theoretically formulated and detailed analyses are presented. Two V-band single-ended cascode LNAs, with a transformer and transmission line for impedance matching, respectively, are demonstrated to verify this technique. Fabricated in a 65-nm CMOS process, the transformer-based (TF-based) LNA exhibits a minimum noise figure (NF) of 3.6 dB at 53.5 GHz and a highest power gain of 28.2 dB at 54 GHz in measurement. To our best knowledge, this LNA has the best NF and power gain among all the published V-band LNAs in 65-nm CMOS up to date. The transmission-line-based (TL-based) LNA exhibits a minimum NF of 3.8 dB at 53.9 GHz and a highest power gain of 25.4 dB at 54.2 GHz in measurement. Both the LNAs consume 18 mA from a power supply of 1.1 V.</t>
    </r>
  </si>
  <si>
    <t>https://ieeexplore.ieee.org/stamp/stamp.jsp?tp=&amp;arnumber=7479530</t>
  </si>
  <si>
    <t>A High IIP2 Broadband CMOS Low-Noise Amplifier With a Dual-Loop Feedback</t>
  </si>
  <si>
    <t>Donggu Im, In-Young Lee</t>
  </si>
  <si>
    <r>
      <t>A dual-loop feedback broadband low-noise amplifier (LNA) employing second-order inter-modulation distortion (IMD2) cancellation is implemented in an 0.18-μm silicon-on-insulator (SOI) CMOS technology. The dual-loop feedback configuration stabilizes an input return loss (S </t>
    </r>
    <r>
      <rPr>
        <sz val="8"/>
        <color rgb="FF333333"/>
        <rFont val="Calibri"/>
        <family val="2"/>
        <scheme val="minor"/>
      </rPr>
      <t>11</t>
    </r>
    <r>
      <rPr>
        <sz val="11"/>
        <color rgb="FF333333"/>
        <rFont val="Calibri"/>
        <family val="2"/>
        <scheme val="minor"/>
      </rPr>
      <t> ) of the LNA at the VHF low band around 50 MHz with small dc blocking capacitors. In order to achieve a second-order output-referred intercept point (OIP2) of greater than +50 dBm with reasonably low power consumption, all of the building blocks of the proposed LNA are designed to have a complementary configuration while the body-bias control technique is applied to the inverter-based resistive feedback amplifier. In addition, the peaking inductor is placed inside the feedback loop at the gate of the input transistor to enhance the bandwidth of the LNA. The designed LNA achieves a measured power gain (S </t>
    </r>
    <r>
      <rPr>
        <sz val="8"/>
        <color rgb="FF333333"/>
        <rFont val="Calibri"/>
        <family val="2"/>
        <scheme val="minor"/>
      </rPr>
      <t>21</t>
    </r>
    <r>
      <rPr>
        <sz val="11"/>
        <color rgb="FF333333"/>
        <rFont val="Calibri"/>
        <family val="2"/>
        <scheme val="minor"/>
      </rPr>
      <t> ) of 10.1 dB, a noise figure (NF) of less than 4 dB, and an input return loss (S </t>
    </r>
    <r>
      <rPr>
        <sz val="8"/>
        <color rgb="FF333333"/>
        <rFont val="Calibri"/>
        <family val="2"/>
        <scheme val="minor"/>
      </rPr>
      <t>11</t>
    </r>
    <r>
      <rPr>
        <sz val="11"/>
        <color rgb="FF333333"/>
        <rFont val="Calibri"/>
        <family val="2"/>
        <scheme val="minor"/>
      </rPr>
      <t> ) of greater than 10 dB over frequencies ranging from 50 MHz to 3 GHz. The measurements show a third-order output-referred intercept point (OIP3) of +17.8 dBm and an OIP2 of +53 dBm at 1 GHz.</t>
    </r>
  </si>
  <si>
    <t>https://ieeexplore.ieee.org/stamp/stamp.jsp?tp=&amp;arnumber=7485878</t>
  </si>
  <si>
    <t>Codesign ofKa-Band Integrated Limiter and Low Noise Amplifier</t>
  </si>
  <si>
    <t>Parisa Mahmoudidaryan, Ali Medi</t>
  </si>
  <si>
    <t>In this paper, a thorough design procedure for concurrent design of integrated antiparallel Schottky-diode-based limiter and low noise amplifier (LNA) is presented. The optimum number of limiter branches, the size and number of diodes in each branch, width of the transmission line loaded by diode branches, and design considerations for input transistor of the LNA are discussed in detail. To improve power handling of the limiter with a minimum impact on overall noise figure (NF), a novel limiter structure is proposed where transistors are utilized in a limiter topology. A design procedure is also introduced for the transistor-based limiter-LNA. Developed methodologies are employed to design and fabricate a diode-based and transistor-based limiter-LNA in a 0.1-μm AlGaAs/InGaAs pHEMT process. Measurement results show that the diode-based limiter-LNA tolerates up to 2-W continuous wave (CW) input power without failure, while transistor-based limiter-LNA is capable of handling 5-W CW input power. Measured average gain and NF for the diode-based limiter-LNA are 21 and 2.3 dB over 28-38-GHz frequency range, while the transistor-based limiter-LNA achieves an average 18-dB small-signal gain and 2.5-dB NF over the 30-38-GHz bandwidth.</t>
  </si>
  <si>
    <t>https://ieeexplore.ieee.org/stamp/stamp.jsp?tp=&amp;arnumber=7526446</t>
  </si>
  <si>
    <t>Design and On-Wafer Characterization of G -Band SiGe HBT Low-Noise Amplifiers</t>
  </si>
  <si>
    <r>
      <t>This paper presents the design and thorough on-wafer characterization of two G-band low-noise amplifiers (LNAs) implemented using 0.13-μm silicon-germanium (SiGe) heterojunction bipolar transistors (HBTs) with peak f </t>
    </r>
    <r>
      <rPr>
        <sz val="8"/>
        <color rgb="FF333333"/>
        <rFont val="Calibri"/>
        <family val="2"/>
        <scheme val="minor"/>
      </rPr>
      <t>T</t>
    </r>
    <r>
      <rPr>
        <sz val="11"/>
        <color rgb="FF333333"/>
        <rFont val="Calibri"/>
        <family val="2"/>
        <scheme val="minor"/>
      </rPr>
      <t> /f </t>
    </r>
    <r>
      <rPr>
        <sz val="8"/>
        <color rgb="FF333333"/>
        <rFont val="Calibri"/>
        <family val="2"/>
        <scheme val="minor"/>
      </rPr>
      <t>max</t>
    </r>
    <r>
      <rPr>
        <sz val="11"/>
        <color rgb="FF333333"/>
        <rFont val="Calibri"/>
        <family val="2"/>
        <scheme val="minor"/>
      </rPr>
      <t> of 300/500 GHz. The impact of the substrate network and optimized via interconnections on the SiGe HBT performance is investigated to ensure that maximum performance is extracted from each SiGe HBT. The two LNAs are separately implemented using only cascode pairs and only common-emitter (CE) SiGe HBTs to determine which configuration yields better performance in a multistage G-band LNA. The cascode LNA achieves a peak gain of 24.0 dB at 158 GHz with a mean noise figure (NF) of 8.2 dB from 145 to 165 GHz, while the CE LNA achieves a 17.2 dB of gain at 183 GHz with a mean NF of 8.0 dB across 165-200 GHz. A novel implementation of blackbody noise sources for on-wafer Y-factor NF measurements reduces the waveguide length needed to transition between the antenna and the probe, which significantly reduces the sensitivity to jitter. To the authors' knowledge, these LNAs achieve the lowest reported NF of all SiGe LNAs at these frequencies to date, and the results demonstrate that SiGe HBTs are viable options for millimeter-wave performance-constrained applications.</t>
    </r>
  </si>
  <si>
    <r>
      <t>Christopher T. Coen,</t>
    </r>
    <r>
      <rPr>
        <sz val="11"/>
        <color theme="1"/>
        <rFont val="Calibri"/>
        <family val="2"/>
        <scheme val="minor"/>
      </rPr>
      <t> Ahmet Çağrı Ulusoy, Peter Song </t>
    </r>
  </si>
  <si>
    <t>https://ieeexplore.ieee.org/stamp/stamp.jsp?tp=&amp;arnumber=7576648</t>
  </si>
  <si>
    <t>A 71–86-GHz Switchless Asymmetric Bidirectional Transceiver in a 90-nm SiGe BiCMOS</t>
  </si>
  <si>
    <t>An E-band (71-86-GHz) bidirectional transceiver is presented in this paper. The time-division duplex architecture avoids transmit (TX)/receive (RX) switches through the use of transistor biasing in the signal path to minimize high-frequency loss. The low-noise amplifier (LNA) and power amplifier (PA) are combined into a wideband PA/LNA circuit, which alleviates the parasitic loading of each circuit through a wideband power combiner. The bidirectional transceiver circuit is implemented in 90-nm SiGe BiCMOS process. In TX mode, the bidirectional transceiver transmits a maximum saturated power of 11 dBm at 78 GHz with a 3-dB bandwidth from 71 to 86 GHz. In RX mode, the maximum 30.6-dB conversion gain and the minimum 6.6-dB noise figure are measured at 73 GHz. The whole RF frontend chip consumes 350.2- and 137.7-mW dc power in TX and RX modes, respectively, including all the RF, IF, and local oscillator amplifiers. The overall chip size is 1.5 mm × 0.9 mm including pads.</t>
  </si>
  <si>
    <r>
      <t xml:space="preserve">Po-Yi Wu, </t>
    </r>
    <r>
      <rPr>
        <sz val="11"/>
        <color theme="1"/>
        <rFont val="Calibri"/>
        <family val="2"/>
        <scheme val="minor"/>
      </rPr>
      <t>Tissana Kijsanayotin, James F. Buckwalter</t>
    </r>
  </si>
  <si>
    <t>https://ieeexplore.ieee.org/stamp/stamp.jsp?tp=&amp;arnumber=7577855</t>
  </si>
  <si>
    <t>A Wideband Low-Power-Consumption 22–32.5-GHz 0.18- μm BiCMOS Active Balun-LNA With IM2 Cancellation Using a Transformer-Coupled Cascode-Cascade Topology</t>
  </si>
  <si>
    <r>
      <t>A low-power-consumption wideband 0.18-μm BiCMOS active balun-low noise amplifier (LNA) with linearity improvement technique for millimeter-wave applications is proposed. The linearity technique utilizes constant Gm transconductance structure with the second-order intermodulation (IM </t>
    </r>
    <r>
      <rPr>
        <sz val="8"/>
        <color rgb="FF333333"/>
        <rFont val="Calibri"/>
        <family val="2"/>
        <scheme val="minor"/>
      </rPr>
      <t>2</t>
    </r>
    <r>
      <rPr>
        <sz val="11"/>
        <color rgb="FF333333"/>
        <rFont val="Calibri"/>
        <family val="2"/>
        <scheme val="minor"/>
      </rPr>
      <t> ) cancellation that provides robustness to input and output variations. The constant Gm is established with equal emitters' area ratios and proper base-emitter biasing voltage, thus improving linearity. Furthermore, power saving is achieved using inductive coupling boosting the overall Gm structure and reducing the current consumption for the auxiliary gain stage. The measured balun-LNA's power gain between the input and two outputs is 15.4 and 15.6 dB with input return loss greater than 8.7 dB. The gain and phase mismatches are less than 1.8 dB and 12°, respectively. The balun-LNA noise figures between the input and two outputs are less than 5.5 and 6 dB at 32.5 GHz. The measured input points [referred 1-dB gain compressions (P </t>
    </r>
    <r>
      <rPr>
        <sz val="8"/>
        <color rgb="FF333333"/>
        <rFont val="Calibri"/>
        <family val="2"/>
        <scheme val="minor"/>
      </rPr>
      <t>in</t>
    </r>
    <r>
      <rPr>
        <sz val="11"/>
        <color rgb="FF333333"/>
        <rFont val="Calibri"/>
        <family val="2"/>
        <scheme val="minor"/>
      </rPr>
      <t> 1dB's), input referred third-order intercept IIP3's] and the input referred second-order intercept points (IIP2's) are more than -14.6, -5.7, and 42 dBm across 22-32.5 GHz, respectively, and the total power consumption is less than 9 mW drawn from 1.8 V power supply.</t>
    </r>
  </si>
  <si>
    <r>
      <t xml:space="preserve">Chadi Geha, </t>
    </r>
    <r>
      <rPr>
        <sz val="11"/>
        <color theme="1"/>
        <rFont val="Calibri"/>
        <family val="2"/>
        <scheme val="minor"/>
      </rPr>
      <t>Cam Nguyen, Jose Silva-Martinez</t>
    </r>
  </si>
  <si>
    <t>https://ieeexplore.ieee.org/stamp/stamp.jsp?tp=&amp;arnumber=7765081</t>
  </si>
  <si>
    <t>A Reconfigurable Dual-Frequency Narrowband CMOS LNA Using Phase-Change RF Switches</t>
  </si>
  <si>
    <r>
      <t>This paper presents a dual-band low-noise amplifier (LNA) that can be reversibly configured between 3 and 5 GHz using a phase-change (PC) RF switch. Simultaneous noise and conjugate input matching is achieved at the two frequencies using a single PC RF switch and coupled source inductors, thereby minimizing integration complexity and enabling a compact design roughly equal in size to a single-band design. The PC switch has extremely low on-state resistance (1.5-4Ω) and parasitic capacitance (12-16 fF), and has a compact footprint (~50 μm </t>
    </r>
    <r>
      <rPr>
        <sz val="8"/>
        <color rgb="FF333333"/>
        <rFont val="Calibri"/>
        <family val="2"/>
        <scheme val="minor"/>
      </rPr>
      <t>2</t>
    </r>
    <r>
      <rPr>
        <sz val="11"/>
        <color rgb="FF333333"/>
        <rFont val="Calibri"/>
        <family val="2"/>
        <scheme val="minor"/>
      </rPr>
      <t> ). A chip containing the PC switch is fabricated in-house while the rest of the LNA is fabricated in a 0.13-μm CMOS technology. The two chips are combined using an in-house flip-chip integration process. Characterization from five prototypes fabricated in two batches is presented. The integrated LNAs achieved peak gain greater than 20 dB and minimum noise figure less than 2.9 dB in both the frequency bands while consuming a peak power of 7.2 mW from a 1.2-V supply. Comparison of the CMOS-PC prototypes with carefully designed control LNAs demonstrates the effectiveness of the PC switch for RF reconfiguration, which allows the reconfigurable LNA to achieve performance comparable to its nonreconfigurable counterparts.</t>
    </r>
  </si>
  <si>
    <t>Rahul Singh, Gregory Slovin, Min Xu, T. E. Schlesinger, et.al</t>
  </si>
  <si>
    <t>https://ieeexplore.ieee.org/stamp/stamp.jsp?tp=&amp;arnumber=8025639&amp;tag=1</t>
  </si>
  <si>
    <t>Analysis and Design of BroadbandLC-Ladder FET LNAs Using Noise Match Network</t>
  </si>
  <si>
    <t>A noise match network for the LC-ladder input network of a broadband inductively source-degenerated common-source (CS) field effect transistor (FET) low-noise amplifier (LNA) is established through noise transformation matrix to derive the noise parameters of a broadband LNA. Analytical formulas for the noise factors of a CS FET LNA with a three-section LC-ladder input network are thus obtained based on the design algorithm of optimal noise and input match developed in this paper. Two 3.7-10.5 GHz two-stage LNAs of the same topology are demonstrated using 0.15-μm pHEMT technology to validate the design methodology. One LNA has all the fully integrated inductors and the other uses two on-chip inductors replaced by two high-Q bondwire inductors for better noise performance. The measurement results show 11-dB power gain with 2.1-dB noise figure for the LNA with the fully integrated inductors and 11-dB power gain with 1.6-dB noise figure for the LNA with two bondwire inductors, respectively.</t>
  </si>
  <si>
    <r>
      <t>Yu-Chih Hsiao  ; Chinchun Meng ; </t>
    </r>
    <r>
      <rPr>
        <u/>
        <sz val="11"/>
        <color theme="1"/>
        <rFont val="Calibri"/>
        <family val="2"/>
        <scheme val="minor"/>
      </rPr>
      <t>Meng-Che Li</t>
    </r>
  </si>
  <si>
    <t>https://ieeexplore.ieee.org/stamp/stamp.jsp?tp=&amp;arnumber=8088352</t>
  </si>
  <si>
    <t>https://ieeexplore.ieee.org/stamp/stamp.jsp?tp=&amp;arnumber=1242978</t>
  </si>
  <si>
    <t>Trung-Kien Nguyen, Nam-Jin Oh, Choong-Yul Cha, et.al</t>
  </si>
  <si>
    <t>B.A. Floyd, S.K. Reynolds, T. Zwick, et.al</t>
  </si>
  <si>
    <t>**(This LNA has 4 different modes of operation which are not included here)</t>
  </si>
  <si>
    <t>Yu-Tso Lin, Hsiao-Chin Chen, Tao Wang, et.al</t>
  </si>
  <si>
    <t>Majid El Kaamouchi, Mehdi Si Moussa, Pierre Delatte, et.al</t>
  </si>
  <si>
    <t>Bevin G. Perumana, Jing-Hong C. Zhan, Stewart S. Taylor, et.al</t>
  </si>
  <si>
    <t>Po-Yu Chang, Shawn S.H. Hsu</t>
  </si>
  <si>
    <t>**(This paper has three different modes of operation)</t>
  </si>
  <si>
    <t>JSSC</t>
  </si>
  <si>
    <t>TMTT</t>
  </si>
  <si>
    <t>Frequency-Scalable SiGe Bipolar RF Front-End Design</t>
  </si>
  <si>
    <t>Osama Shana’a, Ivan Linscott, Len Tyler</t>
  </si>
  <si>
    <t>The optimum collector current density, at the global minimum noise figure (NF) point for a bipolar transistor, scales linearly with frequency. The optimum source impedance, on the other hand, remains constant if the device area is scaled inversely with frequency. As a result, transforming the design from one frequency to another can be achieved by simple circuit scaling. Taking advantage of the shallow nature of the NF/sub min/ global minima, it is possible to increase the linearity of the low-noise amplifier (LNA) or decrease its power consumption, which is required for multimode designs, with little degradation in NF. These theoretical results have been applied to LNA and active mixer designs, and verified by constructing a 1.8-GHz frequency-scaled SiGe bipolar test chip. The measured LNA NF is 1.3 dB at 4.5 mA, while the double-balanced mixer achieves a single-sideband (SSB) NF of 6.1 dB for the low-linearity mode and an IIP3 and an SSB NF of +3 dBm and 6.6 dB, respectively, for the high-linearity mode.</t>
  </si>
  <si>
    <t>https://ieeexplore.ieee.org/stamp/stamp.jsp?tp=&amp;arnumber=924851</t>
  </si>
  <si>
    <t>A 2.4-GHz-Band 1.8-V Operation Single-Chip Si-CMOS T/R-MMIC Front-End with a Low Insertion Loss Switch</t>
  </si>
  <si>
    <t>Kazuya Yamamoto, Tetsuya Heima, Akihiko Furukawa, et.al</t>
  </si>
  <si>
    <t>https://ieeexplore.ieee.org/stamp/stamp.jsp?tp=&amp;arnumber=938369</t>
  </si>
  <si>
    <t>This paper describes the design and experimental results of a 1.8-V single-chip CMOS MMIC front-end for 2.4-GHz band short-range wireless communications, such as Bluetooth and wireless LANs. The IC consists of fundamental RF building circuits-a power amplifier (PA), a low-noise amplifier (LNA), and a transmit/receive-antenna switch (SW), including almost all on-chip matching elements. The IC was fabricated using a 0.18-/spl mu/m standard bulk CMOS technology which has no extra processing steps to enhance the RF performances. Two new circuit-design techniques are introduced in the IC in order to minimize the insertion loss of the SW and realize a higher gain for the PA and LNA despite the utilization of the standard bulk CMOS technology. The first is the derivation of an optimum gate width of the SW to minimize the insertion loss based on small-signal equivalent circuit analysis. The other is the revelation of the advantages of interdigitated capacitors (IDCs) over conventional polysilicon to polysilicon capacitors and the successful use of the IDCs in the LNA and PA. The IC achieves the following sufficient characteristics for practical wireless terminals at 2.1 GHz and 1.8 V: a 5-dBm transmit power at a -1-dB gain compression, a 19-dB gain, an 18-mA current for the PA, a 1.5-dB insertion loss, more than 24-dB isolation, an 11-dBm power handling capability for the SW, a 7.5-dB gain, a 4.5-dB noise figure, and an 8-mA current for the LNA.</t>
  </si>
  <si>
    <t>Jul 2001</t>
  </si>
  <si>
    <t>https://ieeexplore.ieee.org/stamp/stamp.jsp?tp=&amp;arnumber=933471</t>
  </si>
  <si>
    <t>Axel Schmidt, Stéphane Catala</t>
  </si>
  <si>
    <t>A Universal Dual Band LNA Implementation in SiGe Technology for Wireless Applications</t>
  </si>
  <si>
    <t>A dual band low-noise amplifier (LNA) with matched inputs and outputs, implemented in Infineon Technologies' B7HF SiGe process, is presented. Both the single-ended inputs and outputs are matched to 50 /spl Omega/ without external elements. For the low-band (800 MHz-1 GHz), the LNA has a measured gain of 17 dB and a noise figure below 1.2 dB at 900 MHz. The high-band (1.8-2 GHz) LNA achieves a gain of 15 dB and a noise figure below 1.5 dB at 1.9 GHz. Both LNAs consume 5 mA dc current with a power supply voltage range from 2.7-3.6 V.</t>
  </si>
  <si>
    <t>Jun 2001</t>
  </si>
  <si>
    <t>**(This is a dual band LNA)</t>
  </si>
  <si>
    <t>A low-noise amplifier (LNA) uses low-loss monolithic transformer feedback to neutralize the gate-drain overlap capacitance of a field-effect transistor (FET). A differential implementation in 0.18-μm CMOS technology, designed for 5-GHz wireless local-area networks (LANs), achieves a measured power gain of 14.2 dB, noise figure (NF, 50 /spl Omega/) of 0.9 dB, and third-order input intercept point (IIP3) of +0.9 dBm at 5.75 GHz, while consuming 16 mW from a 1-V supply. The feedback design is benchmarked to a 5.75-GHz cascode LNA fabricated in the same technology that realizes 14.1-dB gain, 1.8-dB NF, and IIP3 of +4.2 dBm, while dissipating 21.6 mW at 1.8 V.</t>
  </si>
  <si>
    <t>A 1-V Transformer-Feedback Low-Noise Amplifier for 5-GHz Wireless LAN in 0.18-_x0016_m CMOS</t>
  </si>
  <si>
    <t>David J. Cassan, John R. Long</t>
  </si>
  <si>
    <t>https://ieeexplore.ieee.org/stamp/stamp.jsp?tp=&amp;arnumber=1183849</t>
  </si>
  <si>
    <t>A direct-conversion receiver IC for WCDMA mobile systems</t>
  </si>
  <si>
    <t>A prototype design of a 2.7-3.3-V 14.5-mA SiGe direct-conversion receiver IC for use in third-generation wide-band code-division multiple-access (3G WCDMA) mobile cellular systems has been completed and measured. The design includes a bypassable low-noise amplifier (LNA), a quadrature downconverter, a local-oscillator frequency divider and quadrature generator, and variable-gain baseband amplifiers integrated on chip. The design achieves a cascaded, LNA-referred noise figure (including an interstage surface acoustic wave filter) of 4.0 dB, an in-band IIP3 of -18.6 dBm, and local-oscillator leakage at the LNA input of -112 dBm. The static sensitivity performance of the receiver IC is characterized using a software baseband processor to compute link bit-error rate.</t>
  </si>
  <si>
    <t>https://ieeexplore.ieee.org/stamp/stamp.jsp?tp=&amp;arnumber=1225799&amp;tag=1</t>
  </si>
  <si>
    <t>Scott K. Reynolds, Brian A. Floyd, Troy Beukema, et.al</t>
  </si>
  <si>
    <t>**(This LNA has two modes of operation)</t>
  </si>
  <si>
    <t>A 1.5-V 45-mW direct-conversion WCDMA receiver IC in 0.13-μm CMOS</t>
  </si>
  <si>
    <t>A 2-GHz direct-conversion receiver for wide-band code division multiple access (WCDMA) is presented. It includes two low-noise amplifiers (LNAs), an I/Q demodulator, and two sixth-order baseband channel select filters with programmable gain. Quadrature local oscillator (LO) signals are generated on chip in a frequency divider flip-flop. An external interstage filter between the LNAs rejects transmitter leakage to relax demodulator linearity requirements. A low-voltage demodulator topology improves linearity as well as demodulator output pole accuracy. The active-RC baseband filter uses a programmable servo loop for offset compensation and provides an adjacent channel rejection of 39 dB. Programmable gain over 71-dB range in 1-dB steps is merged with the filter to maximize dynamic range. An automatic on-chip frequency calibration scheme provides better than 1.5% corner frequency accuracy. The receiver is integrated in a 0.13-μm CMOS process with metal-insulator-metal (MIM) capacitors. Measured receiver performance includes a 6.5-dB noise figure, IIP2 of +27 dBm, and IIP3 of -8.6 dBm. Power consumption is 45 mW.</t>
  </si>
  <si>
    <t>https://ieeexplore.ieee.org/stamp/stamp.jsp?tp=&amp;arnumber=1253871</t>
  </si>
  <si>
    <t>Jürgen Rogin, Ilian Kouchev, Gabriel Brenna, et.al</t>
  </si>
  <si>
    <t>*(This paper presents two different LNA's)</t>
  </si>
  <si>
    <t>26-42 GHz SOI CMOS low noise amplifier</t>
  </si>
  <si>
    <t>A complementary metal-oxide semiconductor (CMOS) single-stage cascode low-noise amplifier (LNA) is presented in this paper. The microwave monolithic integrated circuit (MMIC) is fabricated using digital 90-nm silicon-on-insulator (SOI) technology. All impedance matching and bias elements are implemented on the compact chip, which has a size of 0.6 mm /spl times/ 0.3 mm. The supply voltage and supply current are 2.4 V and 17 mA, respectively. At 35 GHz and 50 /spl Omega/ source/load impedances, a gain of 11.9 dB, a noise figure of 3.6 dB, an output compression point of 4 dBm, an input return loss of 6 dB, and an output return loss of 18 dB are measured. The -3-dB frequency bandwidth ranges from 26 to 42 GHz. All results include the pad parasitics. To the knowledge of the author, the results are by far the best for a silicon-based millimeter-wave LNA reported to date. The LNA is well suited for systems operating in accordance to the local multipoint distribution service (LMDS) standards at 28 and 38 GHz and the multipoint video distribution system (MVDS) standard at 42 GHz.</t>
  </si>
  <si>
    <t>Frank Ellinger</t>
  </si>
  <si>
    <t>https://ieeexplore.ieee.org/stamp/stamp.jsp?tp=&amp;arnumber=1269930</t>
  </si>
  <si>
    <t>Low-power, high-gain, and high-linearity SiGe BiCMOS wide-band low-noise amplifier</t>
  </si>
  <si>
    <t>Qiurong He, Milton Feng</t>
  </si>
  <si>
    <t>We present the design of two wide-band, low-power and low-noise amplifiers (LNAs) using SiGe BiCMOS technology. The distributed LNA demonstrated 0.1-23-GHz bandwidth and 14.5-dB gain with less than /spl plusmn/1-dB gain flatness. It exhibited 5-dB noise figure and 14.8-dBm output IP3, and dissipated 54-mW dc power. Comparable circuit performance was also obtained in the lumped LNA while utilizing only one-fifth the chip area of the distributed LNA.</t>
  </si>
  <si>
    <t>https://ieeexplore.ieee.org/stamp/stamp.jsp?tp=&amp;arnumber=1302273</t>
  </si>
  <si>
    <t>Reactive matching is extended to wide bandwidths using the impedance property of LC-ladder filters. In this paper, we present a systematic method to design wideband low-noise amplifiers. An SiGe amplifier with on-chip matching network spanning 3-10 GHz delivers 21-dB peak gain, 2.5-dB noise figure, and -1-dBm input IP3 at 5 GHz, with a 10-mA bias current.</t>
  </si>
  <si>
    <t>https://ieeexplore.ieee.org/stamp/stamp.jsp?tp=&amp;arnumber=1362835</t>
  </si>
  <si>
    <t>A 3–10-GHz Low-Noise Amplifier With Wideband LC-Ladder Matching Network</t>
  </si>
  <si>
    <t>Aly Ismail, Asad A. Abidi</t>
  </si>
  <si>
    <t>An ultrawideband 3.1-10.6-GHz low-noise amplifier employing an input three-section band-pass Chebyshev filter is presented. Fabricated in a 0.18-/spl mu/m CMOS process, the IC prototype achieves a power gain of 9.3 dB with an input match of -10 dB over the band, a minimum noise figure of 4 dB, and an IIP3 of -6.7 dBm while consuming 9 mW.</t>
  </si>
  <si>
    <t>An Ultrawideband CMOS Low-Noise Amplifier for 3.1–10.6-GHz Wireless Receivers</t>
  </si>
  <si>
    <t>Andrea Bevilacqua, Ali M. Niknejad</t>
  </si>
  <si>
    <t>https://ieeexplore.ieee.org/stamp/stamp.jsp?tp=&amp;arnumber=1362834</t>
  </si>
  <si>
    <t>A low-noise amplifier, direct-conversion quadrature mixer, power amplifier, and voltage-controlled oscillators have been implemented in a 0.12-/spl mu/m, 200-GHz f/sub T/290-GHz f/sub MAX/ SiGe bipolar technology for operation at 60 GHz. At 61.5 GHz, the two-stage LNA achieves 4.5-dB NF, 15-dB gain, consuming 6 mA from 1.8 V. This is the first known demonstration of a silicon LNA at V-band. The downconverter consists of a preamplifier, I/Q double-balanced mixers, a frequency tripler, and a quadrature generator, and is again the first known demonstration of silicon active mixers at V-band. At 60 GHz, the downconverter gain is 18.6 dB and the NF is 13.3 dB, and the circuit consumes 55 mA from 2.7 V, while the output buffers consume an additional 52 mA. The balanced class-AB PA provides 10.8-dB gain, +11.2-dBm 1-dB compression point, 4.3% maximum PAE, and 16-dBm saturated output power. Finally, fully differential Colpitts VCOs have been implemented at 22 and 67 GHz. The 67-GHz VCO has a phase noise better than -98 dBc/Hz at 1-MHz offset, and provides a 3.1% tuning range for 8-mA current consumption from a 3-V supply.</t>
  </si>
  <si>
    <t>SiGe Bipolar Transceiver Circuits Operating at 60 GHz</t>
  </si>
  <si>
    <t>Brian A. Floyd, Scott K. Reynolds, Ullrich R. Pfeiffer, et.al</t>
  </si>
  <si>
    <t>https://ieeexplore.ieee.org/stamp/stamp.jsp?tp=&amp;arnumber=1374999</t>
  </si>
  <si>
    <t>An ultra-wideband (UWB) CMOS low noise amplifier (LNA) topology that combines a narrowband LNA with a resistive shunt-feedback is proposed. The resistive shunt-feedback provides wideband input matching with small noise figure (NF) degradation by reducing the Q-factor of the narrowband LNA input and flattens the passband gain. The proposed UWB amplifier is implemented in 0.18-/spl mu/m CMOS technology for a 3.1-5-GHz UWB system. Measurements show a -3-dB gain bandwidth of 2-4.6GHz, a minimum NF of 2.3 dB, a power gain of 9.8 dB, better than -9 dB of input matching, and an input IP3 of -7dBm, while consuming only 12.6 mW of power.</t>
  </si>
  <si>
    <t>An Ultra-Wideband CMOS Low Noise Amplifier for 3–5-GHz UWB System</t>
  </si>
  <si>
    <t>Chang-Wan Kim, Min-Suk Kang, Phan Tuan Anh, et.al</t>
  </si>
  <si>
    <t>https://ieeexplore.ieee.org/stamp/stamp.jsp?tp=&amp;arnumber=1388645</t>
  </si>
  <si>
    <t>27/06/2005</t>
  </si>
  <si>
    <t>A fully integrated 5-GHz low-power ESD-protected low-noise amplifier (LNA), designed and fabricated in a 90-nm RF CMOS technology, is presented. This 9.7-mW LNA features a 13.3-dB power gain at 5.5 GHz with a noise figure of 2.9 dB, while maintaining an input return loss of -14 dB. An on-chip inductor, added as "plug-and-play," i.e., without altering the original LNA design, is used as ESD protection for the RF pins to achieve sufficient ESD protection. The LNA has an ESD protection level up to 1.4 A transmission line pulse (TLP) current, corresponding to 2-kV Human Body Model (HBM) stress. Experimental results show that only minor RF performance degradation is observed by adding the inductor as a bi-directional ESD protection device to the reference LNA.</t>
  </si>
  <si>
    <t>A 5-GHz Fully Integrated ESD-Protected Low-Noise Amplifier in 90-nm RF CMOS</t>
  </si>
  <si>
    <t>Dimitri Linten, Steven Thijs, Mahadeva Iyer Natarajan, et.al</t>
  </si>
  <si>
    <t>https://ieeexplore.ieee.org/stamp/stamp.jsp?tp=&amp;arnumber=1458986</t>
  </si>
  <si>
    <t>A 20-GHz low-noise amplifier (LNA) with an active balun fabricated in a 0.25-/spl mu/m SiGe BICMOS (f/sub t/=47 GHz) technology was presented by the authors in 2004. The LNA achieves close to 7 dB of gain and a noise figure of 4.9 dB with all ports simultaneously matched to 50 /spl Omega/ with better than -16 dB of return loss. The amplifier is highly linear with an IP/sub 1dB/ of 0 dBm and IIP/sub 3/ of 9 dBm, while consuming 14 mA of quiescent current from a 3.3-V rail, with temperature-compensated biasing. To the authors' knowledge, the LNA delivers the lowest reported noise figure and highest linearity for a silicon implementation of a combined active balun and LNA at 20 GHz, and is the first implementation of an active balun with an LC degenerated emitter-coupled pair. Here we expand on that work, with an analysis of the balun operation and noise optimization of the design.</t>
  </si>
  <si>
    <t>A 20-GHz Low-Noise Amplifier With Active Balun in a 0.25-_x0016_m SiGe BICMOS Technology</t>
  </si>
  <si>
    <t>Brian Welch, Kevin T. Kornegay, Hyun-Min Park, Joy Laskar</t>
  </si>
  <si>
    <t>https://ieeexplore.ieee.org/stamp/stamp.jsp?tp=&amp;arnumber=1506899</t>
  </si>
  <si>
    <t>220-GHz Metamorphic HEMT Amplifier MMICs for High-Resolution Imaging Applications</t>
  </si>
  <si>
    <t>Axel Tessmann</t>
  </si>
  <si>
    <t>In this paper, the development of 220-GHz low-noise amplifier (LNA) MMICs for use in high-resolution active and passive millimeter-wave imaging systems is presented. The amplifier circuits have been realized using a well-proven 0.1-/spl mu/m gate length and an advanced 0.05-/spl mu/m gate length InAlAs/InGaAs based depletion-type metamorphic high electron mobility transistor technology. Furthermore, coplanar circuit topology in combination with cascode transistors was applied, leading to a compact chip size and an excellent gain performance at high millimeter-wave frequencies. A realized single-stage 0.05-/spl mu/m cascode LNA exhibited a small-signal gain of 10 dB at 222 GHz, while a 0.1-/spl mu/m four-stage amplifier circuit achieved a linear gain of 20 dB at the frequency of operation and more than 10 dB over the bandwidth from 180 to 225 GHz.</t>
  </si>
  <si>
    <t>https://ieeexplore.ieee.org/stamp/stamp.jsp?tp=&amp;arnumber=1506896</t>
  </si>
  <si>
    <t>An interference-robust receiver for ultra-wideband radio in SiGe BiCMOS technology</t>
  </si>
  <si>
    <t>A 3.1-4.8 GHz ultra-wideband (UWB) receiver front-end for high data rate, short-range communication is presented. The receiver, based on the Multi Band OFDM Alliance (MBOA) standard proposal, consists of a zero-IF receive chain and an ultra-fast frequency-hopping synthesizer. The combination of high-linearity RF circuits, aggressive baseband filtering and low local oscillator spurs from the synthesizer results in an interference-robust receiver, having the ability to co-exist with systems operating in the 2.4-GHz and 5-GHz ISM bands. The packaged device shows an overall noise figure of 4.5 dB and has a measured input IP3 of -6 dBm and input IP2 of +25 dBm. Spurious tones generated by the synthesizer are below -45 dBc and -50 dBc in the 2.4-GHz and 5-GHz ISM bands, respectively. The hopping speed is well below the required 9.5 ns. The complete receive chain has been realized in a 0.25 /spl mu/m BiCMOS technology and draws 78mA from a 2.5-V supply.</t>
  </si>
  <si>
    <t>https://ieeexplore.ieee.org/stamp/stamp.jsp?tp=&amp;arnumber=1546232</t>
  </si>
  <si>
    <t>Raf Roovers, Domine M. W. Leenaerts, Jos Bergervoet, et.al</t>
  </si>
  <si>
    <t>The demand for radio frequency (RF) integrated circuits with reduced power consumption is growing owing to the trend toward system-on-a-chip (SoC) implementations in deep-sub-micron CMOS technologies. The concomitant need for high performance imposes additional challenges for circuit designers. In this paper, a g/sub m/-boosted common-gate low-noise amplifier (CGLNA), differential Colpitts voltage-controlled oscillators (VCO), and a quadrature Colpitts voltage-controlled oscillator (QVCO) are presented as alternatives to the conventional common-source LNA and cross-coupled VCO/QVCO topologies. Specifically, a g/sub m/-boosted common-gate LNA loosens the link between noise factor (i.e., noise match) and input matching (i.e., power match ); consequently, both noise factor and bias current are simultaneously reduced. A transformer-coupled CGLNA is described. Suggested by the functional and topological similarities between amplifiers and oscillators, differential Colpitts VCO and QVCO circuits are presented that relax the start-up requirements and improve both close-in and far-out phase noise compared to conventional Colpitts configurations. Experimental results from a 0.18-/spl mu/m CMOS process validate the g/sub m/-boosting design principle.</t>
  </si>
  <si>
    <t>G/sub m/-boosted common-gate LNA and differential colpitts VCO/QVCO in 0.18-/spl mu/m CMOS</t>
  </si>
  <si>
    <t>Xiaoyong Li, Sudip Shekhar, David J. Allstot</t>
  </si>
  <si>
    <t>https://ieeexplore.ieee.org/stamp/stamp.jsp?tp=&amp;arnumber=1546236</t>
  </si>
  <si>
    <t>This paper demonstrates the feasibility of an above-IC bulk acoustic wave technology for wireless applications. A double-lattice bulk acoustic wave (BAW) filter with balanced input and output has been designed and integrated as a post-process directly above 0.25 /spl mu/m BiCMOS wafers comprising RF circuits. This filter, featuring moderate insertion loss of -3dB and extreme out-of-band rejection (&gt;-50 dB) is used in a simplified RF front-end receiver for the WCDMA standard, as well as in a new type of filtering LNA comprising two broadband amplifiers and one BAW filter.</t>
  </si>
  <si>
    <t>Monolithic above-IC resonator technology for integrated architectures in mobile and wireless communication</t>
  </si>
  <si>
    <t>https://ieeexplore.ieee.org/stamp/stamp.jsp?tp=&amp;arnumber=1564340</t>
  </si>
  <si>
    <t>Marc-Alexandre Dubois, Jean-François Carpentier, Pierre Vincent, et.al</t>
  </si>
  <si>
    <t>A 1.2-V RF front-end with on-chip VCO for PCS 1900 direct conversion receiver in 0.13-/spl mu/m CMOS</t>
  </si>
  <si>
    <t>In this paper, a 1.2-V RF front-end realized for the personal communications services (PCS) direct conversion receiver is presented. The RF front-end comprises a low-noise amplifier (LNA), quadrature mixers, and active RC low-pass filters with gain control. Quadrature local oscillator (LO) signals are generated on chip by a double-frequency voltage-controlled oscillator (VCO) and frequency divider. A current-mode interface between the downconversion mixer output and analog baseband input together with a dynamic matching technique simultaneously improves the mixer linearity, allows the reduction of flicker noise due to the mixer switches, and minimizes the noise contribution of the analog baseband. The dynamic matching technique is employed to suppress the flicker noise of the common-mode feedback (CMFB) circuit utilized at the mixer output, which otherwise would dominate the low-frequency noise of the mixer. Various low-voltage circuit techniques are employed to enhance both the mixer second- and third-order linearity, and to lower the flicker noise. The RF front-end is fabricated in a 0.13-/spl mu/m CMOS process utilizing only standard process options. The RF front-end achieves a voltage gain of 50 dB, noise figure of 3.9 dB when integrated from 100 Hz to 135 kHz, IIP3 of -9 dBm, and at least IIP2 of +30dBm without calibration. The 4-GHz VCO meets the PCS 1900 phase noise specifications and has a phase noise of -132dBc/Hz at 3-MHz offset.</t>
  </si>
  <si>
    <t>https://ieeexplore.ieee.org/stamp/stamp.jsp?tp=&amp;arnumber=1583802&amp;tag=1</t>
  </si>
  <si>
    <t>Pete Sivonen, Jussi Tervaluoto, Niko Mikkola, Aarno Pärssinen</t>
  </si>
  <si>
    <t>Low-power programmable gain CMOS distributed LNA</t>
  </si>
  <si>
    <t>A design methodology for low power MOS distributed amplifiers (DAs) is presented. The bias point of the MOS devices is optimized so that the DA can be used as a low-noise amplifier (LNA) in broadband applications. A prototype 9-mW LNA with programmable gain was implemented in a 0.18-/spl mu/m CMOS process. The LNA provides a flat gain, S/sub 21/, of 8 /spl plusmn/ 0.6dB from DC to 6.2 GHz, with an input impedance match, S/sub 11/, of -16 dB and an output impedance match, S/sub 22/, of -10 dB over the entire band. The 3-dB bandwidth of the distributed amplifier is 7GHz, the IIP3 is +3 dBm, and the noise figure ranges from 4.2 to 6.2 dB. The gain is programmable from -10 dB to +8 dB while gain flatness and matching are maintained.</t>
  </si>
  <si>
    <t>https://ieeexplore.ieee.org/stamp/stamp.jsp?tp=&amp;arnumber=1637598</t>
  </si>
  <si>
    <t>Frank Zhang, Peter R. Kinget</t>
  </si>
  <si>
    <t>Design of a Sub-mW 960-MHz UWB CMOS LNA</t>
  </si>
  <si>
    <t>This paper presents a sub-mW ultra-wideband (UWB) fully differential CMOS low-noise amplifier (LNA) operating below 960 MHz for sensor network applications. By utilizing both nMOS and pMOS transistors to boost the transconductance, coupling the input signals to the back-gates of the transistors, and combining the common-gate and shunt-feedback topologies, the LNA achieves 13 dB of power gain, a 3.6 dB minimum noise figure, and -10 dBm of IIP3 with only 0.72 mW of power consumption from a 1.2 V supply</t>
  </si>
  <si>
    <t>https://ieeexplore.ieee.org/stamp/stamp.jsp?tp=&amp;arnumber=1717668</t>
  </si>
  <si>
    <t>Stanley B. T. Wang, Ali M. Niknejad, Robert W. Brodersen</t>
  </si>
  <si>
    <t>A Fully Integrated Direct-Conversion Receiver for CDMA and GPS Applications</t>
  </si>
  <si>
    <t>This paper describes a fully integrated zero-IF receiver for cellular CDMA and GPS applications. The single-chip zero-IF receiver integrates the entire signal path for CDMA and GPS bands, including a low-noise amplifier (LNA), I/Q down-converters, baseband channel selection filters (CSFs), a voltage-controlled oscillator (VCO), and a local oscillator (LO) distribution circuit for each band. The cellular-band LNA achieves a noise figure (NF) of 1.2 dB, input third-order intercept point (IIP3) of 11 dBm, and gain of 15.5 dB. Cellular I/Q down-converter and baseband circuitries show 9-dB composite NF, 9 dBm IIP3 and 60-dBm input second-order intercept point (IIP2) without IIP2 calibration. The measured LO leakage is less than -110 dBm at LNA input. The phase noise of the cellular VCO is -134 dBc/Hz at 900-kHz offset with 1.76-GHz carrier frequency. Total GPS signal path achieves NF of 1.7 dB and gain of 74 dB with 42-mA current. The receiver is fabricated in a 0.35-mum SiGe BiCMOS process and packaged in a 6 mm times 6 mm 40-pin micro-lead-frame. Handset measurements report that the receiver meets or exceeds all of the CDMA-2000 requirements</t>
  </si>
  <si>
    <t>https://ieeexplore.ieee.org/stamp/stamp.jsp?tp=&amp;arnumber=1717664</t>
  </si>
  <si>
    <t>Kyoohyun Lim, Sang-Hoon Lee, Sunki Min, et.al</t>
  </si>
  <si>
    <r>
      <t>An ultra-wideband 3.1-10.6-GHz low-noise amplifier employing a broadband noise-canceling technique is presented. By using the proposed circuit and design methodology, the noise from the matching device is greatly suppressed over the desired UWB band, while the noise from other devices performing noise cancellation is minimized by the systematic approach. Fabricated in a 0.18-mum CMOS process, the IC prototype achieves a power gain of 9.7 dB over a -3 dB bandwidth of 1.2-11.9-GHz and a noise figure of 4.5-5.1 dB in the entire UWB band. It consumes 20 mW from a 1.8-V supply and occupies an area of only 0.59 mm</t>
    </r>
    <r>
      <rPr>
        <sz val="8"/>
        <color rgb="FF333333"/>
        <rFont val="Calibri"/>
        <family val="2"/>
        <scheme val="minor"/>
      </rPr>
      <t>2</t>
    </r>
  </si>
  <si>
    <t>A Broadband Noise-Canceling CMOS LNA for 3.1–10.6-GHz UWB Receivers</t>
  </si>
  <si>
    <t>Chih-Fan Liao, Shen-Iuan Liu</t>
  </si>
  <si>
    <t>https://ieeexplore.ieee.org/stamp/stamp.jsp?tp=&amp;arnumber=4077164</t>
  </si>
  <si>
    <t>A fully integrated direct conversion DVB-H tuner is realized in a 0.5-mum SiGe BiCMOS technology. To meet the stringent linearity requirement while keeping low power consumption, novel linearization techniques for a variable-gain low-noise amplifier (VG-LNA) and a mixer are proposed. The proposed linearized VG-LNA has a variable gain range of over 50 dB, noise figure of less than 2.6 dB over the frequency range from 200 to 1000 MHz, and IIP3 of more than -10 dBm at a current consumption of 2.1 mA. The quadrature mixer with the proposed linearization technique achieves OIP3 of more than 25 dBm at a current consumption of 5 mA. In addition, a new offset-cancel feedback is introduced for the baseband block of a direct conversion receiver, which keeps the high-pass cutoff frequency independent of the baseband VGA gain. The fabricated tuner IC satisfies all the DVB-H requirements at a power consumption of 184 mW</t>
  </si>
  <si>
    <t>A 184 mW Fully Integrated DVB-H Tuner With a Linearized Variable Gain LNA and Quadrature Mixers Using Cross-Coupled Transconductor</t>
  </si>
  <si>
    <t>Kunihiko Iizuka, Hiroshi Kawamura, Takanobu Fujiwara, et.al</t>
  </si>
  <si>
    <t>https://ieeexplore.ieee.org/stamp/stamp.jsp?tp=&amp;arnumber=4140588&amp;tag=1</t>
  </si>
  <si>
    <t>A 1.2 V Reactive-Feedback 3.1–10.6 GHz Low-Noise Amplifier in 0.13μmCMOS</t>
  </si>
  <si>
    <r>
      <t>A 15.1 dB gain, 2.1 dB (min.) noise figure low-noise amplifier (LNA) fabricated in 0.13 mum CMOS operates across the entire 3.1-10.6 GHz ultrawideband (UWB). Noise figure variation over the band is limited to 0.43 dB. Reactive (transformer) feedback reduces the noise figure, stabilizes the gain, and sets the terminal impedances over the desired bandwidth. It also provides a means of separating ESD protection circuitry from the RF input path. Bias current-reuse limits power consumption of the 0.87mm </t>
    </r>
    <r>
      <rPr>
        <sz val="8"/>
        <color rgb="FF333333"/>
        <rFont val="Calibri"/>
        <family val="2"/>
        <scheme val="minor"/>
      </rPr>
      <t>2</t>
    </r>
    <r>
      <rPr>
        <sz val="11"/>
        <color rgb="FF333333"/>
        <rFont val="Calibri"/>
        <family val="2"/>
        <scheme val="minor"/>
      </rPr>
      <t> IC to 9 mW from a 1.2 V supply. Comparable measured results are presented from both packaged and wafer probed test samples</t>
    </r>
  </si>
  <si>
    <t>https://ieeexplore.ieee.org/stamp/stamp.jsp?tp=&amp;arnumber=4160082&amp;tag=1</t>
  </si>
  <si>
    <t>Michael T. Reiha, John R. Long,</t>
  </si>
  <si>
    <t>A Ultra-Wideband Amplitude Modulation (AM) Detector Using Schottky Barrier Diodes Fabricated in Foundry CMOS Technology</t>
  </si>
  <si>
    <r>
      <t>Utility of Schottky diodes fabricated in foundry digital 130-nm CMOS technology is demonstrated by implementing an ultra-wideband (UWB) amplitude modulation detector consisting of a low-noise amplifier (LNA), a Schottky diode rectifier, and a low-pass filter. The input and output matching of the detector is better than -10 dB from 0-10.3 GHz and 0-1.7 GHz, respectively, and almost covers the entire UWB frequency band (3.1-10.6 GHz). The measured peak conversion gain is -2.2dB. The sensitivity over the band for amplitude modulation with the minimum E </t>
    </r>
    <r>
      <rPr>
        <sz val="8"/>
        <color rgb="FF333333"/>
        <rFont val="Calibri"/>
        <family val="2"/>
        <scheme val="minor"/>
      </rPr>
      <t>b</t>
    </r>
    <r>
      <rPr>
        <sz val="11"/>
        <color rgb="FF333333"/>
        <rFont val="Calibri"/>
        <family val="2"/>
        <scheme val="minor"/>
      </rPr>
      <t>/N</t>
    </r>
    <r>
      <rPr>
        <sz val="8"/>
        <color rgb="FF333333"/>
        <rFont val="Calibri"/>
        <family val="2"/>
        <scheme val="minor"/>
      </rPr>
      <t>o</t>
    </r>
    <r>
      <rPr>
        <sz val="11"/>
        <color rgb="FF333333"/>
        <rFont val="Calibri"/>
        <family val="2"/>
        <scheme val="minor"/>
      </rPr>
      <t> of 6 dB is between -53 and -56 dBm. The power consumption is only 8.5 mW</t>
    </r>
  </si>
  <si>
    <t>https://ieeexplore.ieee.org/stamp/stamp.jsp?tp=&amp;arnumber=4160083</t>
  </si>
  <si>
    <t>Swaminathan Sankaran, Kenneth K. O</t>
  </si>
  <si>
    <t>A Compact, ESD-Protected, SiGe BiCMOS LNA for Ultra-Wideband Applications</t>
  </si>
  <si>
    <r>
      <t>Two 3.65-mW, ESD-protected, BiCMOS ultra-wideband low-noise amplifiers (LNAs) for operation up to 10 GHz are presented. These common-base LNAs achieve significant savings in die area over more widely used cascoded common-emitter LNAs because they do not use an LC input matching network. A design with a shunt peaked load achieves a high S</t>
    </r>
    <r>
      <rPr>
        <sz val="8"/>
        <color rgb="FF333333"/>
        <rFont val="Calibri"/>
        <family val="2"/>
        <scheme val="minor"/>
      </rPr>
      <t>21</t>
    </r>
    <r>
      <rPr>
        <sz val="11"/>
        <color rgb="FF333333"/>
        <rFont val="Calibri"/>
        <family val="2"/>
        <scheme val="minor"/>
      </rPr>
      <t> (17-19 dB) and low noise figure (NF) (4-5 dB) across the band. A resistively loaded design exhibits a lower S</t>
    </r>
    <r>
      <rPr>
        <sz val="8"/>
        <color rgb="FF333333"/>
        <rFont val="Calibri"/>
        <family val="2"/>
        <scheme val="minor"/>
      </rPr>
      <t>21</t>
    </r>
    <r>
      <rPr>
        <sz val="11"/>
        <color rgb="FF333333"/>
        <rFont val="Calibri"/>
        <family val="2"/>
        <scheme val="minor"/>
      </rPr>
      <t> (15-16 dB) and higher NF (4.5-6 dB), but also utilizes 20% less silicon area. Both LNAs achieve a 1.5 kV ESD protection level and an acceptable S</t>
    </r>
    <r>
      <rPr>
        <sz val="8"/>
        <color rgb="FF333333"/>
        <rFont val="Calibri"/>
        <family val="2"/>
        <scheme val="minor"/>
      </rPr>
      <t>11</t>
    </r>
    <r>
      <rPr>
        <sz val="11"/>
        <color rgb="FF333333"/>
        <rFont val="Calibri"/>
        <family val="2"/>
        <scheme val="minor"/>
      </rPr>
      <t> (&lt;-10 dB) across the band. Current source noise reduction is critical in common base topologies. Therefore, detailed noise analyses of MOS- and HBT-based current sources are provided</t>
    </r>
  </si>
  <si>
    <t>Karan Bhatia, Sami Hyvonen, Elyse Rosenbaum</t>
  </si>
  <si>
    <t>https://ieeexplore.ieee.org/stamp/stamp.jsp?tp=&amp;arnumber=4160060</t>
  </si>
  <si>
    <r>
      <t>Sixty-gigahertz power (PA) and low-noise (LNA) amplifiers have been implemented, based on algorithmic design methodologies for mm-wave CMOS amplifiers, in a 90-nm RF-CMOS process with thick 9-metal-layer Cu backend and transistor f</t>
    </r>
    <r>
      <rPr>
        <sz val="8"/>
        <color rgb="FF333333"/>
        <rFont val="Calibri"/>
        <family val="2"/>
        <scheme val="minor"/>
      </rPr>
      <t>T</t>
    </r>
    <r>
      <rPr>
        <sz val="11"/>
        <color rgb="FF333333"/>
        <rFont val="Calibri"/>
        <family val="2"/>
        <scheme val="minor"/>
      </rPr>
      <t>/f</t>
    </r>
    <r>
      <rPr>
        <sz val="8"/>
        <color rgb="FF333333"/>
        <rFont val="Calibri"/>
        <family val="2"/>
        <scheme val="minor"/>
      </rPr>
      <t>MAX</t>
    </r>
    <r>
      <rPr>
        <sz val="11"/>
        <color rgb="FF333333"/>
        <rFont val="Calibri"/>
        <family val="2"/>
        <scheme val="minor"/>
      </rPr>
      <t> of 120 GHz/200 GHz. The PA, fabricated for the first time in CMOS at 60 GHz, operates from a 1.5-V supply with 5.2 dB power gain, a 3-dB bandwidth &gt;13 GHz, a P </t>
    </r>
    <r>
      <rPr>
        <sz val="8"/>
        <color rgb="FF333333"/>
        <rFont val="Calibri"/>
        <family val="2"/>
        <scheme val="minor"/>
      </rPr>
      <t>1dB</t>
    </r>
    <r>
      <rPr>
        <sz val="11"/>
        <color rgb="FF333333"/>
        <rFont val="Calibri"/>
        <family val="2"/>
        <scheme val="minor"/>
      </rPr>
      <t> of +6.4 dBm with 7% PAE and a saturated output power of +9.3 dBm at 60 GHz. The LNA represents the first 90-nm CMOS implementation at 60 GHz and demonstrates improvements in noise, gain and power dissipation compared to earlier 60-GHz LNAs in 160-GHz SiGe HBT and 0.13-mum CMOS technologies. It features 14.6 dB gain, an IIP </t>
    </r>
    <r>
      <rPr>
        <sz val="8"/>
        <color rgb="FF333333"/>
        <rFont val="Calibri"/>
        <family val="2"/>
        <scheme val="minor"/>
      </rPr>
      <t>3</t>
    </r>
    <r>
      <rPr>
        <sz val="11"/>
        <color rgb="FF333333"/>
        <rFont val="Calibri"/>
        <family val="2"/>
        <scheme val="minor"/>
      </rPr>
      <t> of -6.8 dBm, and a noise figure lower than 5.5 dB, while drawing 16 mA from a 1.5-V supply. The use of spiral inductors for on-chip matching results in highly compact layouts, with the total PA and LNA die areas with pads measuring 0.35times0.43 mm</t>
    </r>
    <r>
      <rPr>
        <sz val="8"/>
        <color rgb="FF333333"/>
        <rFont val="Calibri"/>
        <family val="2"/>
        <scheme val="minor"/>
      </rPr>
      <t>2</t>
    </r>
    <r>
      <rPr>
        <sz val="11"/>
        <color rgb="FF333333"/>
        <rFont val="Calibri"/>
        <family val="2"/>
        <scheme val="minor"/>
      </rPr>
      <t> and 0.35times0.40 mm</t>
    </r>
    <r>
      <rPr>
        <sz val="8"/>
        <color rgb="FF333333"/>
        <rFont val="Calibri"/>
        <family val="2"/>
        <scheme val="minor"/>
      </rPr>
      <t>2</t>
    </r>
    <r>
      <rPr>
        <sz val="11"/>
        <color rgb="FF333333"/>
        <rFont val="Calibri"/>
        <family val="2"/>
        <scheme val="minor"/>
      </rPr>
      <t>, respectively</t>
    </r>
  </si>
  <si>
    <t>Algorithmic Design of CMOS LNAs and PAs for 60-GHz Radio</t>
  </si>
  <si>
    <t>Terry Yao, Michael Q. Gordon, Keith K. W. Tang, et.al</t>
  </si>
  <si>
    <t>https://ieeexplore.ieee.org/stamp/stamp.jsp?tp=&amp;arnumber=4160086</t>
  </si>
  <si>
    <t>Design and Analysis of a Performance-Optimized CMOS UWB Distributed LNA</t>
  </si>
  <si>
    <t>In this paper, the systematic design and analysis of a CMOS performance-optimized distributed low-noise amplifier (DLNA) comprising bandwidth-enhanced cascode cells will be presented. Each cascode cell employs an inductor between the common-source and common-gate devices to enhance the bandwidth, while reducing the high-frequency input-referred noise. The noise analysis and optimization of the DLNA accurately accounts for the impact of thermal noise of line terminations and all device noise sources of each CMOS cascode cell including flicker noise, correlated gate-induced noise and channel thermal noise on the overall noise figure. A three-stage performance-optimized wideband DLNA has been designed and fabricated in a 0.18-mum SiGe process, where only MOS transistors were utilized. Measurements of the test chip show a flat noise figure of 2.9 dB, a forward gain of 8 dB, and input and output return losses below -12 dB and -10 dB, respectively, across the 7.5 GHz UWB band. The circuit exhibits an average IIP3 of -3.55 dBm. The 872 mum times 872 mum DLNA chip consumes 12 mA of current from a 1.8-V DC voltage.</t>
  </si>
  <si>
    <t>Payam Heydari</t>
  </si>
  <si>
    <t>https://ieeexplore.ieee.org/stamp/stamp.jsp?tp=&amp;arnumber=4295195</t>
  </si>
  <si>
    <t>Sub-0.2 dB Noise Figure Wideband Room-Temperature CMOS LNA With Non-50 Ω Signal-Source Impedance</t>
  </si>
  <si>
    <t>This paper presents a wideband low-noise amplifier (LNA) designed to be used as the first stage of the receiver in the Square Kilometer Array radio telescope. The LNA design procedure and its layout features are discussed. The noise figure optimization procedure determines the signal-source resistance that results in reduced noise figure. When used in the radio telescope, the required signal-source resistance will be presented by the telescope custom-made antenna elements. The LNA, designed in 90 nm bulk CMOS, achieves sub-0.2 dB noise figure from 800 MHz to 1400 MHz, return loss of more than 11 dB, gain of more than 17 dB driven into a 50 load, output 1 dB compression point of 2 dBm, output IP3 of 12 dBm, and output IP2 of 22 dBm while consuming 43 mA from a 1 V supply. In the LNA implementation presented in this paper the load choke inductor and the source inductor are integrated whereas the gate-, bias-, and the choke-inductor between two transistors of the cascode are external. The noise figure of the presented LNA is to our knowledge the lowest noise figure achieved by a power matched wideband CMOS LNA at room temperature.</t>
  </si>
  <si>
    <t>Leonid Belostotski, James W. Haslett</t>
  </si>
  <si>
    <t>https://ieeexplore.ieee.org/stamp/stamp.jsp?tp=&amp;arnumber=4362084</t>
  </si>
  <si>
    <t>A Digitally Controlled Variable-Gain Low-Noise Amplifier With Strong Immunity to Interferers</t>
  </si>
  <si>
    <t>A variable-gain low-noise amplifier with capacitive step attenuators is presented. In order to improve linearity at medium gains settings, digital gain control is performed using a current-splitting technique at the cascode transistors. The fabricated LNA shows an IIP3 increase with constant OIP3, from -1.1 dBm at 25.8 dB gain to 3.5 dBm at 21.2 dB gain. Using capacitive attenuator control, a wide gain range of over 42.7 dB is achieved. Using a 0.5-mum BiCMOS process, the proposed LNA shows an NF of 1.5 dB at 650 MHz and a power consumption of 15.4 mW under 2.9 V supply voltage. The fabricated tuner-IC, including the proposed LNA, satisfies all requirements pertinent to DVB-H reception, with sufficient margins for practical integration. Under typical DVB-H reception scenarios involving strong interferers, measurement results and analytical calculations showed good consistency at various gain settings.</t>
  </si>
  <si>
    <t>Masato Koutani, Hiroshi Kawamura, Shinji Toyoyama, Kunihiko Iizuka</t>
  </si>
  <si>
    <t>https://ieeexplore.ieee.org/stamp/stamp.jsp?tp=&amp;arnumber=4362100</t>
  </si>
  <si>
    <t>An active filtering technique to remove the out-of-band blockers in wireless receivers is presented. The circuit employs a feed-forward filtering path to produce an arbitrarily narrow frequency response in the low-noise amplifier (LNA), eliminating the need for an external surface acoustic wave (SAW) filter at the receiver front-end. The required notch filtering in the feed-forward path is realized through a receiver translational loop, driven by the same local oscillator (LO) signals used in the main receiver. For the proof of concept, a prototype amplifier in 65 nm standard CMOS, intended for Global System for Mobile Communication (GSM) applications, is implemented. When the filtering is enabled, the amplifier 3-dB bandwidth reduces from 220 MHz to about 4.5 MHz, and a stop-band rejection of over 21 dB is achieved.</t>
  </si>
  <si>
    <t>A Blocker Filtering Technique for SAW-Less Wireless Receivers</t>
  </si>
  <si>
    <t>https://ieeexplore.ieee.org/stamp/stamp.jsp?tp=&amp;arnumber=4381445</t>
  </si>
  <si>
    <t>Hooman Darabi</t>
  </si>
  <si>
    <t>A single-chip, dual-band transceiver for CDMA2000 is presented. The design supporting the North American cellular and PCS bands features a complete zero-IF receiver, a direct-conversion transmitter and two fully integrated synthesizers with VCOs. The analog receiver front-end comprises two self-matched wideband LNAs, a highly linear demodulator and a third-order baseband filter. In a test version I/Q ADCs and a digital front-end (DFE) to provide channel and matched filtering are included to demonstrate the performance of a fully integrated analog/digital line-up. Measured maximum SNR values of 23 dB and 25 dB for PCS and Cell bands, respectively, are achieved. The transmitter comprises baseband buffers and filters, an I/Q-modulator and separate output drivers for each band. An analog gain control (AGC) for realization of a dynamic range is implemented and a maximum output power of at a total CDG4 urban current of 34 mA is achieved for the PCS band. Measured ACPR1 and values are and 0.998 for the Cell band and and 0.995 for the PCS band, respectively. The chip is fabricated in a 0.13 RF-CMOS process, occupies a die size of 8.4 and operates with a 2.5 V supply.</t>
  </si>
  <si>
    <t>A Single-Chip Dual-Band CDMA2000 Transceiver in 0.13 _x0016_m CMOS</t>
  </si>
  <si>
    <t>Josef Zipper, Claus Stöger, Gernot Hueber, et.al</t>
  </si>
  <si>
    <t>https://ieeexplore.ieee.org/stamp/stamp.jsp?tp=&amp;arnumber=4381468</t>
  </si>
  <si>
    <t>In this paper, a current-to-voltage combiner is proposed to realize a highly linear, balanced noise-cancelling low-noise amplifier (LNA) capable of low-voltage operation. The current-to-voltage combiner, implemented in the load of the amplifier, converts the output currents of the parallel common-gate (CG) and common-source (CS) stages of the LNA to voltages, equalizes the amplitudes of the voltages, and combines the voltages to a single output voltage. Since only a CS stage and passive components are employed to cancel the noise and distortion due to the CG input impedance matching circuit, high linearity is achieved in spite of the low supply voltage of 1.2 V. The LNA achieves a noise figure (NF) of 3.0 dB at 2.1 GHz with an input-referred third-order intercept point (IIP3) of +10.5 dBm while consuming 10.5 mA from a 1.2-V supply. The amplifier is fabricated in 0.13-mum CMOS process.</t>
  </si>
  <si>
    <t>Jarkko Jussila, Pete Sivonen</t>
  </si>
  <si>
    <t>A 1.2-V Highly Linear Balanced Noise-Cancelling LNA in 0.13-um CMOS</t>
  </si>
  <si>
    <t>https://ieeexplore.ieee.org/stamp/stamp.jsp?tp=&amp;arnumber=4456778</t>
  </si>
  <si>
    <t>A 60-GHz receiver (RX) front-end chip fabricated in 90 nm CMOS process is presented. The RX chip consists of an LNA, a downconversion mixer, and a phase-locked loop synthesizer. The RX chip is capable of generating LO signal from phase-locked synthesizer. The components of the RX chip employ fully differential architecture to avoid influences of parasitic components and operate with low LO signal amplitude. Measured power gain and NF of 22 dB and 8.4 dB were obtained at 61.5 GHz, respectively, and the RX chip receives a radio signal with an on-chip dipole antenna. These results indicate the possibility of realization of a CMOS single-chip 60-GHz transceiver.</t>
  </si>
  <si>
    <t>A 60-GHz CMOS Receiver Front-End With Frequency Synthesizer</t>
  </si>
  <si>
    <t>Toshiya Mitomo, Ryuichi Fujimoto, Naoko Ono, et.al</t>
  </si>
  <si>
    <t>https://ieeexplore.ieee.org/stamp/stamp.jsp?tp=&amp;arnumber=4476501</t>
  </si>
  <si>
    <t>A broadband inductorless low-noise amplifier (LNA) design that utilizes simultaneous noise and distortion cancellation is presented. Concurrent cancellation of the intrinsic third-order distortion from individual stages is exhibited with the common-gate and common-source cascade. The LNA is then limited by the second-order interaction between the common source and common gate stages, which is common in all cascade amplifiers. Further removal of this third-order distortion is achieved by incorporating a second-order-distortion-free circuit technique in the common gate stage. Implemented in 0.13 m CMOS technology, this LNA achieved 16 dBm in both the 900 MHz and 2 GHz bands. Measurements demonstrate that the LNA has a minimum internal gain of 14.5 dB, noise figure of 2.6 dB from 800 MHz to 2.1GHz while drawing 11.6 mA from 1.5 V supply voltage.</t>
  </si>
  <si>
    <t>A Highly Linear Broadband CMOS LNA Employing Noise and Distortion Cancellation</t>
  </si>
  <si>
    <t>Wei-Hung Chen, Gang Liu, Boos Zdravko, Ali M. Niknejad</t>
  </si>
  <si>
    <t>https://ieeexplore.ieee.org/stamp/stamp.jsp?tp=&amp;arnumber=4494645</t>
  </si>
  <si>
    <t>A self-testable and highly reliable low noise amplifier designed in 0.13 m CMOS technology is presented in this paper. This reliable LNA could be used to design the front-end of critical nodes in wireless local area networks to ensure data transmission. The LNA test, based on a built-in self test methodology, monitors its behavior. The test circuit is composed of one sensor and one biasing voltage sensor, and it offers high fault coverage. The high reliability is ensured by the use of redundancies. The LNA works under a 0.9 V supply voltage and the test chip has RF characteristics suitable for 802.11b/g applications. Parametric faults are injected and detected to demonstrate the efficiency of the BIST circuitry. Thanks to the switching on redundant blocks, performances are maintained and hence this proves the reliability of the methodology proposed.</t>
  </si>
  <si>
    <t>Design of a 0.9 V 2.45 GHz Self-Testable and Reliability-Enhanced CMOS LNA</t>
  </si>
  <si>
    <t>Mikaël Cimino, Hervé Lapuyade, Yann Deval, et.al</t>
  </si>
  <si>
    <t>https://ieeexplore.ieee.org/stamp/stamp.jsp?tp=&amp;arnumber=4494646</t>
  </si>
  <si>
    <t>A tuned-input tuned-output (TITO) VCO utilizes two resonant-tanks to achieve a low measured phase noise of 130.5 dBc/Hz @ 1 MHz offset from 2.5 GHz center frequency. Improvement in phase noise is achieved with comparable power consumption and tuning range compared to a cross-coupled VCO topology. A TITO cell similar to that in the VCO is used as a common-source amplifier in a current-reuse configuration cascaded with a -boosted common-gate amplifier to realize a high gain (20 dB), low power (2.7 mW) LNA. A technique to improve the linearity of the current-reuse LNA is also presented.</t>
  </si>
  <si>
    <t>CMOS VCO and LNA Using Tuned-Input Tuned-Output Circuits</t>
  </si>
  <si>
    <t>Sudip Shekhar, Jeffery S. Walling, Sankaran Aniruddhan, David J. Allstot</t>
  </si>
  <si>
    <t>https://ieeexplore.ieee.org/stamp/stamp.jsp?tp=&amp;arnumber=4494670</t>
  </si>
  <si>
    <r>
      <t>An inductorless low-noise amplifier (LNA) with active balun is proposed for multi-standard radio applications between 100 MHz and 6 GHz. It exploits a combination of a common-gate (CGH) stage and an admittance-scaled common-source (CS) stage with replica biasing to maximize balanced operation, while simultaneously canceling the noise and distortion of the CG-stage. In this way, a noise figure (NF) close to or below 3 dB can be achieved, while good linearity is possible when the CS-stage is carefully optimized. We show that a CS-stage with deep submicron transistors can have high IIP2, because the nu</t>
    </r>
    <r>
      <rPr>
        <sz val="8"/>
        <color rgb="FF333333"/>
        <rFont val="Calibri"/>
        <family val="2"/>
        <scheme val="minor"/>
      </rPr>
      <t>gs</t>
    </r>
    <r>
      <rPr>
        <sz val="11"/>
        <color rgb="FF333333"/>
        <rFont val="Calibri"/>
        <family val="2"/>
        <scheme val="minor"/>
      </rPr>
      <t>ldr nu</t>
    </r>
    <r>
      <rPr>
        <sz val="8"/>
        <color rgb="FF333333"/>
        <rFont val="Calibri"/>
        <family val="2"/>
        <scheme val="minor"/>
      </rPr>
      <t>ds</t>
    </r>
    <r>
      <rPr>
        <sz val="11"/>
        <color rgb="FF333333"/>
        <rFont val="Calibri"/>
        <family val="2"/>
        <scheme val="minor"/>
      </rPr>
      <t> cross-term in a two-dimensional Taylor approximation of the I</t>
    </r>
    <r>
      <rPr>
        <sz val="8"/>
        <color rgb="FF333333"/>
        <rFont val="Calibri"/>
        <family val="2"/>
        <scheme val="minor"/>
      </rPr>
      <t>DS</t>
    </r>
    <r>
      <rPr>
        <sz val="11"/>
        <color rgb="FF333333"/>
        <rFont val="Calibri"/>
        <family val="2"/>
        <scheme val="minor"/>
      </rPr>
      <t>(V</t>
    </r>
    <r>
      <rPr>
        <sz val="8"/>
        <color rgb="FF333333"/>
        <rFont val="Calibri"/>
        <family val="2"/>
        <scheme val="minor"/>
      </rPr>
      <t>GS</t>
    </r>
    <r>
      <rPr>
        <sz val="11"/>
        <color rgb="FF333333"/>
        <rFont val="Calibri"/>
        <family val="2"/>
        <scheme val="minor"/>
      </rPr>
      <t>, V</t>
    </r>
    <r>
      <rPr>
        <sz val="8"/>
        <color rgb="FF333333"/>
        <rFont val="Calibri"/>
        <family val="2"/>
        <scheme val="minor"/>
      </rPr>
      <t>DS</t>
    </r>
    <r>
      <rPr>
        <sz val="11"/>
        <color rgb="FF333333"/>
        <rFont val="Calibri"/>
        <family val="2"/>
        <scheme val="minor"/>
      </rPr>
      <t>) characteristic can cancel the traditionally dominant square-law term in the I</t>
    </r>
    <r>
      <rPr>
        <sz val="8"/>
        <color rgb="FF333333"/>
        <rFont val="Calibri"/>
        <family val="2"/>
        <scheme val="minor"/>
      </rPr>
      <t>DS</t>
    </r>
    <r>
      <rPr>
        <sz val="11"/>
        <color rgb="FF333333"/>
        <rFont val="Calibri"/>
        <family val="2"/>
        <scheme val="minor"/>
      </rPr>
      <t>(V</t>
    </r>
    <r>
      <rPr>
        <sz val="8"/>
        <color rgb="FF333333"/>
        <rFont val="Calibri"/>
        <family val="2"/>
        <scheme val="minor"/>
      </rPr>
      <t>GS</t>
    </r>
    <r>
      <rPr>
        <sz val="11"/>
        <color rgb="FF333333"/>
        <rFont val="Calibri"/>
        <family val="2"/>
        <scheme val="minor"/>
      </rPr>
      <t>) relation at practical gain values. Using standard 65 nm transistors at 1.2 V supply voltage, we realize a balun-LNA with 15 dB gain, NF &lt; 3.5 dB and IIP2 &gt; +20 dBm, while simultaneously achieving an IIP3 &gt; 0 dBm. The best performance of the balun is achieved between 300 MHz to 3.5 GHz with gain and phase errors below 0.3 dB and plusmn2 degrees. The total power consumption is 21 mW, while the active area is only 0.01 mm</t>
    </r>
    <r>
      <rPr>
        <sz val="8"/>
        <color rgb="FF333333"/>
        <rFont val="Calibri"/>
        <family val="2"/>
        <scheme val="minor"/>
      </rPr>
      <t>2</t>
    </r>
    <r>
      <rPr>
        <sz val="11"/>
        <color rgb="FF333333"/>
        <rFont val="Calibri"/>
        <family val="2"/>
        <scheme val="minor"/>
      </rPr>
      <t>.</t>
    </r>
  </si>
  <si>
    <t>Wideband Balun-LNA With Simultaneous Output Balancing, Noise-Canceling and Distortion-Canceling</t>
  </si>
  <si>
    <t>Stephan C. Blaakmeer, Eric A. M. Klumperink, Domine M. W. Leenaerts, Bram Nauta</t>
  </si>
  <si>
    <t>https://ieeexplore.ieee.org/stamp/stamp.jsp?tp=&amp;arnumber=4531656</t>
  </si>
  <si>
    <t>This paper presents an integrated LNA for millimeter-wave applications implemented in 90 nm CMOS technology. Modeling methodology based solely on electromagnetic simulations, RC parasitic extraction and device measurements up to 20 GHz allows for ldquocorrect-by-constructionrdquo design at mm-wave frequencies and first-pass silicon success. The dual-stage cascode LNA has a peak gain of 15.5 dB at 64 GHz with a NF of 6.5 dB, while drawing 26mA per stage from 1.65 V. Output is 3.8 dBm. At , each stage draws 19 mA, with a peak gain and a NF of 13.5 dB and 6.7 dB, respectively. Measured results are in excellent agreement with simulations, proving the effectiveness of the proposed design methodology. A custom set-up for mm-wave NF measurement is also extensively described in the paper.</t>
  </si>
  <si>
    <t>A 64 GHz LNA With 15.5 dB Gain and 6.5 dB NF in 90 nm CMOS</t>
  </si>
  <si>
    <t>Stefano Pellerano, Yorgos Palaskas, Krishnamurthy Soumyanath</t>
  </si>
  <si>
    <t>https://ieeexplore.ieee.org/stamp/stamp.jsp?tp=&amp;arnumber=4550644</t>
  </si>
  <si>
    <r>
      <t>A 75-to-91 GHz receiver front-end, consisting of a three-stage cascode low-noise amplifier (LNA), a double-balanced Gilbert-cell mixer and a differential DC-to-9 GHz IF buffer, is reported in 65-nm general purpose (GP) CMOS technology. The noise and input-impedance matched LNA employs a cascode input stage with shunt-series, transformer feedback. A theoretical and experimental comparison with a conventional inductor-feedback LNA indicates 0.5-1 dB higher gain, 0.3-0.6 dB lower noise figure and better input return loss for the transformer feedback LNA. The receiver has a differential down-conversion gain of 13 dB, an input P</t>
    </r>
    <r>
      <rPr>
        <sz val="8"/>
        <color rgb="FF333333"/>
        <rFont val="Calibri"/>
        <family val="2"/>
        <scheme val="minor"/>
      </rPr>
      <t>1dB</t>
    </r>
    <r>
      <rPr>
        <sz val="11"/>
        <color rgb="FF333333"/>
        <rFont val="Calibri"/>
        <family val="2"/>
        <scheme val="minor"/>
      </rPr>
      <t> of -16.2 dBm, and a double-sideband noise figure of 8.5 to 10 dB at an IF of 1 GHz. Because of the transformer feedback, the input return loss is better than -20 dB from 80 to 92 GHz and remains below -10 dB from 70 GHz beyond 95 GHz. The circuit occupies an area of 460 mum times 500 mum and consumes 89 mW (47 mW in the LNA and mixer) from a 1.5 V supply. An LO-to-RF isolation of 60 dB was measured for LO signals in the 80-to-85 GHz range. Measurements of the mixer breakout, which includes transformers at the RF and LO ports, show a record NF</t>
    </r>
    <r>
      <rPr>
        <sz val="8"/>
        <color rgb="FF333333"/>
        <rFont val="Calibri"/>
        <family val="2"/>
        <scheme val="minor"/>
      </rPr>
      <t>DSB</t>
    </r>
    <r>
      <rPr>
        <sz val="11"/>
        <color rgb="FF333333"/>
        <rFont val="Calibri"/>
        <family val="2"/>
        <scheme val="minor"/>
      </rPr>
      <t> of 8 to 10 dB over the 74-to-91 GHz band. The 50-Omega noise figure of the LNA is 6.4 to 8.4 dB in the 75-to-88.5 GHz range. The LNA can also be employed as a transmitter output stage with a saturated output power of +4 dBm.</t>
    </r>
  </si>
  <si>
    <t>A Wideband W-Band Receiver Front-End in 65-nm CMOS</t>
  </si>
  <si>
    <t>Mehdi Khanpour, Keith W. Tang, Patrice Garcia, Sorin P. Voinigescu</t>
  </si>
  <si>
    <t>https://ieeexplore.ieee.org/stamp/stamp.jsp?tp=&amp;arnumber=4578757</t>
  </si>
  <si>
    <r>
      <t>A single-ended 77/79 GHz monolithic microwave integrated circuit (MMIC) receiver has been developed in SiGe HBT technology for frequency-modulated continuous-wave (FMCW) automotive radars. The single-ended receiver chip consists of the first reported SiGe 77/79 GHz single-ended cascode low noise amplifier (LNA), the improved single-ended RF double-balanced down-conversion 77/79 GHz micromixer, and the modified differential Colpitts 77/79 GHz voltage controlled oscillator (VCO). The LNA presents 20/21.7 dB gain and mixer has 13.4/7 dB gain at 77/79 GHz, and the VCO oscillates from 79 to 82 GHz before it is tuned by cutting the transmission line ladder, and it centres around 77 GHz with a tuning range of 3.8 GHz for the whole ambient temperature variation range from -40degC to +125degC after we cut the lines by tungsten-carbide needles. Phase noise is -90 dBc/Hz@l MHz offset. Differential output power delivered by the VCO is 5 dBm, which is an optimum level to drive the mixer. The receiver occupies 0.5 mm</t>
    </r>
    <r>
      <rPr>
        <sz val="8"/>
        <color rgb="FF333333"/>
        <rFont val="Calibri"/>
        <family val="2"/>
        <scheme val="minor"/>
      </rPr>
      <t>2</t>
    </r>
    <r>
      <rPr>
        <sz val="11"/>
        <color rgb="FF333333"/>
        <rFont val="Calibri"/>
        <family val="2"/>
        <scheme val="minor"/>
      </rPr>
      <t> without pads and 1.26 mm</t>
    </r>
    <r>
      <rPr>
        <sz val="8"/>
        <color rgb="FF333333"/>
        <rFont val="Calibri"/>
        <family val="2"/>
        <scheme val="minor"/>
      </rPr>
      <t>2</t>
    </r>
    <r>
      <rPr>
        <sz val="11"/>
        <color rgb="FF333333"/>
        <rFont val="Calibri"/>
        <family val="2"/>
        <scheme val="minor"/>
      </rPr>
      <t> with pads, and consumes 595 mW. The measurement of the whole receiver at 79 GHz shows 20-26 dB gain in the linear region with stable IF output signal. The input P</t>
    </r>
    <r>
      <rPr>
        <sz val="8"/>
        <color rgb="FF333333"/>
        <rFont val="Calibri"/>
        <family val="2"/>
        <scheme val="minor"/>
      </rPr>
      <t>1dB</t>
    </r>
    <r>
      <rPr>
        <sz val="11"/>
        <color rgb="FF333333"/>
        <rFont val="Calibri"/>
        <family val="2"/>
        <scheme val="minor"/>
      </rPr>
      <t> of the receiver is -35 dBm.</t>
    </r>
  </si>
  <si>
    <t>A Single-Ended Fully Integrated SiGe 77/79 GHz Receiver for Automotive Radar</t>
  </si>
  <si>
    <t>Li Wang, Srdjan Glisic, Johannes Borngraeber, et.al</t>
  </si>
  <si>
    <t>https://ieeexplore.ieee.org/stamp/stamp.jsp?tp=&amp;arnumber=4625989</t>
  </si>
  <si>
    <r>
      <t>Single-ended and differential phased array front-ends are developed for Ka-band applications using a 0.12 mum SiGe BiCMOS process. The phase shifters are based on CMOS switched delay networks and have 22.5deg phase resolution and &lt;4deg rms phase error at 35 GHz, and can handle +10 dBm of RF power (P</t>
    </r>
    <r>
      <rPr>
        <sz val="8"/>
        <color rgb="FF333333"/>
        <rFont val="Arial"/>
        <family val="2"/>
      </rPr>
      <t>1dB</t>
    </r>
    <r>
      <rPr>
        <sz val="11"/>
        <color rgb="FF333333"/>
        <rFont val="Arial"/>
        <family val="2"/>
      </rPr>
      <t>) with a 3rd order intermodulation intercept point (IIP3) of +21 dBm. For the single-ended design, a SiGe low noise amplifier is placed before the CMOS phase shifter, and the LNA/phase shifter results in 11 plusmn 1.5 dB gain and &lt;3.4 dB of noise figure (NF), for a total power consumption of only 11 mW. For the differential front-end, a variable gain LNA is also developed and shows 9-20 dB gain and &lt;1deg rms phase imbalance between the eight different gain states. The differential variable gain LNA/phase shifter consumes 33 mW, and results in 10 + 1.3 dB gain and 3.8 dB of NF. The gain variation is reduced to 9.1 plusmn 0.45 dB with the variable gain function applied. The single-ended and differential front-ends occupy a small chip area, with a size of 350 times 800 mum</t>
    </r>
    <r>
      <rPr>
        <sz val="8"/>
        <color rgb="FF333333"/>
        <rFont val="Arial"/>
        <family val="2"/>
      </rPr>
      <t>2</t>
    </r>
    <r>
      <rPr>
        <sz val="11"/>
        <color rgb="FF333333"/>
        <rFont val="Arial"/>
        <family val="2"/>
      </rPr>
      <t> and 350 times 950 mum2, respectively, excluding pads. These chips are competitive with GaAs and InP designs, and are building blocks for low-cost millimeter-wave phased array front-ends based on silicon technology.</t>
    </r>
  </si>
  <si>
    <t>Single-Ended and Differential Ka-Band BiCMOS Phased Array Front-Ends</t>
  </si>
  <si>
    <t>Byung-Wook Min, Gabriel M. Rebeiz</t>
  </si>
  <si>
    <t>The emerging concept of multistandard radios calls for low-noise amplifier (LNA) solutions able to comply with their needs. Meanwhile, the increasing cost of scaled CMOS pushes towards low-area solutions in standard, digital CMOS. Feedback LNAs are able to meet both demands. This paper is devoted to the design of low-area active-feedback LNAs. We discuss the design of wideband, narrowband and multiband implementations. We demonstrate that competitive RF performance is achievable thanks to CMOS downscaling, pleasing many applications because of their low cost (digital CMOS) and low area (bondpad size).</t>
  </si>
  <si>
    <t>Low-Area Active-Feedback Low-Noise Amplifier Design in Scaled Digital CMOS</t>
  </si>
  <si>
    <t>Jonathan Borremans, Piet Wambacq, Charlotte Soens, et.al</t>
  </si>
  <si>
    <t>https://ieeexplore.ieee.org/stamp/stamp.jsp?tp=&amp;arnumber=4685422</t>
  </si>
  <si>
    <t>*(This paper presents three different LNA's)</t>
  </si>
  <si>
    <t>*(This paper presents four different LNA's)</t>
  </si>
  <si>
    <t>The increasing mask costs of modern scaled CMOS makes silicon area precious. Meanwhile, the lowering oxide thickness seriously toughens ESD protection of RF circuits, pushing towards area-demanding inductor-based ESD protection techniques. This paper presents a transformer-based ESD protection technique for inductor-based LNAs. With no area penalty, an ESD protection level of 4.5 kV HBM is achieved. Introducing two-stage protection increases the robustness up to 7.3 kV, maintaining excellent RF performance. Further it extends the TLP protection level from 3.2 to 5 A. A noise figure of 2.6 dB is achieved with a power gain of 14.8 dB, while consuming 6.5 mW. The technique serves as a solution for low-area highly protected LNAs in deep-submicron CMOS.</t>
  </si>
  <si>
    <t>A Fully Integrated 7.3 kV HBM ESD-Protected Transformer-Based 4.5–6 GHz CMOS LNA</t>
  </si>
  <si>
    <t>Jonathan Borremans, Steven Thijs, Piet Wambacq, et.al</t>
  </si>
  <si>
    <t>https://ieeexplore.ieee.org/stamp/stamp.jsp?tp=&amp;arnumber=4768884</t>
  </si>
  <si>
    <t>This work proposes a practical linearization technique for high-frequency wideband applications using an active nonlinear resistor, and analyzes its performance with Volterra series. The linearization technique is applied to an ultra-wideband (UWB) cascode common gate Low Noise Amplifier (CG-LNA), and two additional reference designs are implemented to evaluate the linearization technique - a standard (without linearization) cascode CG-LNA and a single-transistor CG-LNA. The single-transistor CG-LNA achieves +6.5 to +9.5 dBm IIP3, 10 dB (max.) gain, and 2.9 dB (min.) NF over a 3-11 GHz bandwidth (BW); the LNA consumes 2.4 mW from a 1.3 V supply. The cascode linearized LNA achieves +11.7 to +14.1 dBm IIP3, 11.6 dB (max.) gain, and 3.6 dB (min.) NF over 1.5 to 8.1 GHz; the cascode LNA consumes 2.62 mW from a 1.3 V supply. Experimental results show that the linearization technique improves the cascode LNA's IIP3 by a factor of 3.5 to 9 dB over a 2.5-10 GHz frequency range.</t>
  </si>
  <si>
    <t>A Low-Power, Linearized, Ultra-Wideband LNA Design Technique</t>
  </si>
  <si>
    <t>Heng Zhang, Xiaohua Fan, Edgar Sánchez Sinencio</t>
  </si>
  <si>
    <t>https://ieeexplore.ieee.org/stamp/stamp.jsp?tp=&amp;arnumber=4768879</t>
  </si>
  <si>
    <t>A CMOS LNA supporting multiple mobile video standards (MediaFLO, DVB-H, and ISDB-T) is implemented using a 0.18 mum CMOS process. The LNA uses a novel feedback configuration and implements an RF elliptic low-pass filter (LPF) response. Because of this elliptic LPF response, the receiver is able to operate concurrently with radio transmitter leakage from GSM, DCS, WLAN, and Bluetooth. The design decouples the feedback path from the main path to allow integration of the LPF as well as obtain wideband input matching. Measurement results show voltage gain of 25 dB, NF of 1.6 dB, and IIP3 of -2 dBm in MediaFLO mode. DVB-H mode demonstrates voltage gain of 25 dB, NF of 1.8 dB, and IIP3 of -1 dBm while achieving interference rejection greater than 70 dB.</t>
  </si>
  <si>
    <t>Multi-Standard Mobile Broadcast Receiver LNA With Integrated Selectivity and Novel Wideband Impedance Matching Technique</t>
  </si>
  <si>
    <t>Tae Wook Kim, Harish Muthali, Susanta Sengupta, et.al</t>
  </si>
  <si>
    <t>https://ieeexplore.ieee.org/stamp/stamp.jsp?tp=&amp;arnumber=4787568</t>
  </si>
  <si>
    <r>
      <t>A wideband CMOS low noise amplifier (LNA) with single-ended input and output employing noise and IM2 distortion cancellation for a digital terrestrial and cable TV tuner is presented. By adopting a noise canceling structure combining a common source amplifier and a common gate amplifier by current amplification, the LNA obtains a low noise figure and high IIP3. IIP2 as well as IIP3 of the LNA is important in broadband systems, especially digital terrestrial and cable TV applications. Accordingly, in order to overcome the poor IIP2 performance of conventional LNAs with single-ended input and output and avoid the use of external and bulky passive transformers along with high sensitivity, an IM2 distortion cancellation technique exploiting the complementary RF performance of NMOS and PMOS while retaining thermal noise canceling is adopted in the LNA. The proposed LNA is implemented in a 0.18 mum CMOS process and achieves a power gain of 14 dB, an average noise figure of 3 dB, an IIP3 of 3 dBm, an IIP2 of 44 dBm at maximum gain, and S11 of under -9 dB in a frequency range from 50 MHz to 880 MHz. The power consumption is 34.8 mW at 2.2 V and the chip area is 0.16 mm</t>
    </r>
    <r>
      <rPr>
        <sz val="8"/>
        <color rgb="FF333333"/>
        <rFont val="Calibri"/>
        <family val="2"/>
        <scheme val="minor"/>
      </rPr>
      <t>2</t>
    </r>
    <r>
      <rPr>
        <sz val="11"/>
        <color rgb="FF333333"/>
        <rFont val="Calibri"/>
        <family val="2"/>
        <scheme val="minor"/>
      </rPr>
      <t>.</t>
    </r>
  </si>
  <si>
    <t>A Wideband CMOS Low Noise Amplifier Employing Noise and IM2 Distortion Cancellation for a Digital TV Tuner</t>
  </si>
  <si>
    <t>Donggu Im, Ilku Nam, Hong-Teuk Kim, Kwyro Lee</t>
  </si>
  <si>
    <r>
      <t>A g </t>
    </r>
    <r>
      <rPr>
        <sz val="8"/>
        <color rgb="FF333333"/>
        <rFont val="Calibri"/>
        <family val="2"/>
        <scheme val="minor"/>
      </rPr>
      <t>m</t>
    </r>
    <r>
      <rPr>
        <sz val="11"/>
        <color rgb="FF333333"/>
        <rFont val="Calibri"/>
        <family val="2"/>
        <scheme val="minor"/>
      </rPr>
      <t> -boosted resistive feedback low-noise amplifier (LNA) using a series inductor matching network and its application to a 2.4 GHz LNA is presented. While keeping the advantage of easy and reliable input matching of a resistive feedback topology, it takes an extra advantage of g </t>
    </r>
    <r>
      <rPr>
        <sz val="8"/>
        <color rgb="FF333333"/>
        <rFont val="Calibri"/>
        <family val="2"/>
        <scheme val="minor"/>
      </rPr>
      <t>m</t>
    </r>
    <r>
      <rPr>
        <sz val="11"/>
        <color rgb="FF333333"/>
        <rFont val="Calibri"/>
        <family val="2"/>
        <scheme val="minor"/>
      </rPr>
      <t> -boosting as in inductively degenerated topology. The gain of the LNA increases by the Q-factor of the series RLC input network, and its noise figure (NF) is reduced by a similar factor. By exploiting the g </t>
    </r>
    <r>
      <rPr>
        <sz val="8"/>
        <color rgb="FF333333"/>
        <rFont val="Calibri"/>
        <family val="2"/>
        <scheme val="minor"/>
      </rPr>
      <t>m</t>
    </r>
    <r>
      <rPr>
        <sz val="11"/>
        <color rgb="FF333333"/>
        <rFont val="Calibri"/>
        <family val="2"/>
        <scheme val="minor"/>
      </rPr>
      <t> -boosting property, the proposed fully integrated LNA achieves a noise figure of 2.0 dB, S21 of 24 dB, and IIP3 of - 11 dBm while consuming 2.6 mW from a 1.2 V supply, and occupies 0.6 mm </t>
    </r>
    <r>
      <rPr>
        <sz val="8"/>
        <color rgb="FF333333"/>
        <rFont val="Calibri"/>
        <family val="2"/>
        <scheme val="minor"/>
      </rPr>
      <t>2</t>
    </r>
    <r>
      <rPr>
        <sz val="11"/>
        <color rgb="FF333333"/>
        <rFont val="Calibri"/>
        <family val="2"/>
        <scheme val="minor"/>
      </rPr>
      <t> in 0.13-mum CMOS, which provides the best figure of merit. This paper also includes an LNA of the same topology with an external input matching network which has an NF of 1.2 dB.</t>
    </r>
  </si>
  <si>
    <t>A 2.4-GHz Resistive Feedback LNA in 0.13um CMOS</t>
  </si>
  <si>
    <t>Sanghoon Joo, Tae-Young Choi, Byunghoo Jun</t>
  </si>
  <si>
    <t>A Millimeter-Wave (23–32 GHz) Wideband BiCMOS Low-Noise Amplifier</t>
  </si>
  <si>
    <r>
      <t>This paper presents a 23-32 GHz wideband BiCMOS low-noise amplifier (LNA). The LNA utilizes coupled-resonators to provide a wideband load. To our knowledge, the proposed LNA achieves the widest bandwidth with minimum power consumption using 0.18 ¿m BiCMOS technology in K-band. Analytical expressions for the wideband input matching, gain, noise figure and linearity are presented. The LNA is implemented using 0.18 um BiCMOS technology and occupies an area of 0.25 mm </t>
    </r>
    <r>
      <rPr>
        <sz val="8"/>
        <color rgb="FF333333"/>
        <rFont val="Calibri"/>
        <family val="2"/>
        <scheme val="minor"/>
      </rPr>
      <t>2</t>
    </r>
    <r>
      <rPr>
        <sz val="11"/>
        <color rgb="FF333333"/>
        <rFont val="Calibri"/>
        <family val="2"/>
        <scheme val="minor"/>
      </rPr>
      <t> . It achieves a voltage gain of 12 dB, 3-dB bandwidth of 9 GHz, noise figure between 4.5-6.3 dB, linearity higher than -6.4 dBm with a power consumption of 13 mW from a 1.5 V supply.</t>
    </r>
  </si>
  <si>
    <t>Mohamed El-Nozahi, Edgar Sánchez-Sinencio, Kamran Entesari</t>
  </si>
  <si>
    <t>This paper presents a compact 0.18-um CMOS wideband gain-flattened low noise amplifier (LNA). The low noise characteristic of the LNA is achieved by the noise canceling technique and the gain flatness is enhanced by the gate-inductive gain-peaking technique. In addition to extending flat-gain bandwidth, the proposed gain-peaking technique results in better wideband noise canceling and quick gain roll-off outside the desired signal band to reject interference. Without using any passive inductor, the core size of the fully-integrated CMOS LNA circuit is only 145 u m × 247 u m. The measured gain and noise figure of the CMOS LNA are 16.4 dB and 2.1 dB, respectively. The gain variation of the LNA is ±0.4 dB from 50 to 900 MHz. Operated at 1.8 V, the chip consumes 14.4 mW of power.</t>
  </si>
  <si>
    <t>A Compact Wideband CMOS Low Noise Amplifier With Gain Flatness Enhancement</t>
  </si>
  <si>
    <t>Yueh-Hua Yu, Yong-Sian Yang, Yi-Jan Emery Chen</t>
  </si>
  <si>
    <t>This paper presents the design of a 60 GHz phase shifter integrated with a low-noise amplifier (LNA) and power amplifier (PA) in a 65 nm CMOS technology for phased array systems. The 4-bit digitally controlled RF phase shifter is based on programmable weighted combinations of I/Q paths using digitally controlled variable gain amplifiers (VGAs). With the combination of an LNA, a phase shifter and part of a combiner, each receiver path achieves 7.2 dB noise figure, a 360° phase shift range in steps of approximately 22.5°, an average insertion gain of 12 dB at 61 GHz, a 3 dB-bandwidth of 5.5 GHz and dissipates 78 mW. Consisting of a phase shifter and a PA, one transmitter path achieves a maximum output power of higher than +8.3 dBm, a 360° phase shift range in 22.5° steps, an average insertion gain of 7.7 dB at 62 GHz, a 3 dB-bandwidth of 6.5 GHz and dissipates 168 mW.</t>
  </si>
  <si>
    <t>Yikun Yu, Peter G. M. Baltus, Anton de Graauw, et.al</t>
  </si>
  <si>
    <t>A 60 GHz Phase Shifter Integrated With LNA and PA in 65 nm CMOS for Phased Array Systems</t>
  </si>
  <si>
    <t>https://ieeexplore.ieee.org/stamp/stamp.jsp?tp=&amp;arnumber=5556449</t>
  </si>
  <si>
    <r>
      <t>A 0.13 μm SiGe BiCMOS technology for millimeter-wave applications is presented. This technology features high-speed HBTs with peak transit frequencies </t>
    </r>
    <r>
      <rPr>
        <i/>
        <sz val="11"/>
        <color rgb="FF333333"/>
        <rFont val="Calibri"/>
        <family val="2"/>
        <scheme val="minor"/>
      </rPr>
      <t>f</t>
    </r>
    <r>
      <rPr>
        <sz val="11"/>
        <color rgb="FF333333"/>
        <rFont val="Calibri"/>
        <family val="2"/>
        <scheme val="minor"/>
      </rPr>
      <t> </t>
    </r>
    <r>
      <rPr>
        <sz val="8"/>
        <color rgb="FF333333"/>
        <rFont val="Calibri"/>
        <family val="2"/>
        <scheme val="minor"/>
      </rPr>
      <t>T</t>
    </r>
    <r>
      <rPr>
        <sz val="11"/>
        <color rgb="FF333333"/>
        <rFont val="Calibri"/>
        <family val="2"/>
        <scheme val="minor"/>
      </rPr>
      <t> of 240 GHz, maximum oscillation frequencies </t>
    </r>
    <r>
      <rPr>
        <i/>
        <sz val="11"/>
        <color rgb="FF333333"/>
        <rFont val="Calibri"/>
        <family val="2"/>
        <scheme val="minor"/>
      </rPr>
      <t>f</t>
    </r>
    <r>
      <rPr>
        <sz val="8"/>
        <color rgb="FF333333"/>
        <rFont val="Calibri"/>
        <family val="2"/>
        <scheme val="minor"/>
      </rPr>
      <t>max</t>
    </r>
    <r>
      <rPr>
        <sz val="11"/>
        <color rgb="FF333333"/>
        <rFont val="Calibri"/>
        <family val="2"/>
        <scheme val="minor"/>
      </rPr>
      <t> of 330 GHz, and breakdown voltages BV </t>
    </r>
    <r>
      <rPr>
        <sz val="8"/>
        <color rgb="FF333333"/>
        <rFont val="Calibri"/>
        <family val="2"/>
        <scheme val="minor"/>
      </rPr>
      <t>CEO</t>
    </r>
    <r>
      <rPr>
        <sz val="11"/>
        <color rgb="FF333333"/>
        <rFont val="Calibri"/>
        <family val="2"/>
        <scheme val="minor"/>
      </rPr>
      <t> of 1.7 V along with high-voltage HBTs ( </t>
    </r>
    <r>
      <rPr>
        <i/>
        <sz val="11"/>
        <color rgb="FF333333"/>
        <rFont val="Calibri"/>
        <family val="2"/>
        <scheme val="minor"/>
      </rPr>
      <t>f</t>
    </r>
    <r>
      <rPr>
        <sz val="11"/>
        <color rgb="FF333333"/>
        <rFont val="Calibri"/>
        <family val="2"/>
        <scheme val="minor"/>
      </rPr>
      <t> </t>
    </r>
    <r>
      <rPr>
        <sz val="8"/>
        <color rgb="FF333333"/>
        <rFont val="Calibri"/>
        <family val="2"/>
        <scheme val="minor"/>
      </rPr>
      <t>T</t>
    </r>
    <r>
      <rPr>
        <sz val="11"/>
        <color rgb="FF333333"/>
        <rFont val="Calibri"/>
        <family val="2"/>
        <scheme val="minor"/>
      </rPr>
      <t> = 50 GHz, </t>
    </r>
    <r>
      <rPr>
        <i/>
        <sz val="11"/>
        <color rgb="FF333333"/>
        <rFont val="Calibri"/>
        <family val="2"/>
        <scheme val="minor"/>
      </rPr>
      <t>f</t>
    </r>
    <r>
      <rPr>
        <sz val="8"/>
        <color rgb="FF333333"/>
        <rFont val="Calibri"/>
        <family val="2"/>
        <scheme val="minor"/>
      </rPr>
      <t>max</t>
    </r>
    <r>
      <rPr>
        <sz val="11"/>
        <color rgb="FF333333"/>
        <rFont val="Calibri"/>
        <family val="2"/>
        <scheme val="minor"/>
      </rPr>
      <t> = 130 GHz, BV </t>
    </r>
    <r>
      <rPr>
        <sz val="8"/>
        <color rgb="FF333333"/>
        <rFont val="Calibri"/>
        <family val="2"/>
        <scheme val="minor"/>
      </rPr>
      <t>CEO</t>
    </r>
    <r>
      <rPr>
        <sz val="11"/>
        <color rgb="FF333333"/>
        <rFont val="Calibri"/>
        <family val="2"/>
        <scheme val="minor"/>
      </rPr>
      <t> = 3.7 V) integrated in a dual gate oxide RF-CMOS process. Ring oscillator gate delays of 2.9 ps, low-noise amplifiers for 122 GHz, and </t>
    </r>
    <r>
      <rPr>
        <i/>
        <sz val="11"/>
        <color rgb="FF333333"/>
        <rFont val="Calibri"/>
        <family val="2"/>
        <scheme val="minor"/>
      </rPr>
      <t>LC</t>
    </r>
    <r>
      <rPr>
        <sz val="11"/>
        <color rgb="FF333333"/>
        <rFont val="Calibri"/>
        <family val="2"/>
        <scheme val="minor"/>
      </rPr>
      <t> oscillators with fundamental-mode oscillation frequencies above 200 GHz are demonstrated.</t>
    </r>
  </si>
  <si>
    <t>A 0.13μm SiGe BiCMOS Technology Featuring fT/fmaxof 240/330 GHz and Gate Delays Below 3 ps</t>
  </si>
  <si>
    <t>Holger Rücker, Bernd Heinemann, Wolfgang Winkler, et.al</t>
  </si>
  <si>
    <t>https://ieeexplore.ieee.org/stamp/stamp.jsp?tp=&amp;arnumber=5556448</t>
  </si>
  <si>
    <t>A Passive W-Band Imaging Receiver in 65-nm Bulk CMOS</t>
  </si>
  <si>
    <t>Alexander Tomkins, Patrice Garcia, Sorin P. Voinigescu</t>
  </si>
  <si>
    <t>https://ieeexplore.ieee.org/stamp/stamp.jsp?tp=&amp;arnumber=5579984</t>
  </si>
  <si>
    <t>A Fully-Integrated 77-GHz FMCW Radar Transceiver in 65-nm CMOS Technology</t>
  </si>
  <si>
    <t>A fully-integrated FMCW radar system for automotive applications operating at 77 GHz has been proposed. Utilizing a fractional- synthesizer as the FMCW generator, the transmitter linearly modulates the carrier frequency across a range of 700 MHz. The receiver together with an external baseband processor detects the distance and relative speed by conducting an FFT-based algorithm. Millimeter-wave PA and LNA are incorporated on chip, providing sufficient gain, bandwidth, and sensitivity. Fabricated in 65-nm CMOS technology, this prototype provides a maximum detectable distance of 106 meters for a mid-size car while consuming 243 mW from a 1.2-V supply.</t>
  </si>
  <si>
    <t>Jri Lee, Yi-An Li, Meng-Hsiung Hung, Shih-Jou Huang</t>
  </si>
  <si>
    <t>https://ieeexplore.ieee.org/stamp/stamp.jsp?tp=&amp;arnumber=5610983</t>
  </si>
  <si>
    <r>
      <t>A new broadband low-noise amplifier (LNA) is proposed in this paper. The LNA utilizes a composite NMOS/PMOS cross-coupled transistor pair to increase the amplification while reducing the noise figure. The introduced approach provides partial cancellation of noise generated by the input transistors, hence, lowering the overall noise figure. Theory, simulation and measurement results are shown in the paper. An implemented prototype using IBM 90 nm CMOS technology is evaluated using on-wafer probing and packaging. Measurements show a conversion gain of 21 dB across 2-2300 MHz frequency range, an IIP3 of -1.5 dBm at 100 MHz, and minimum and maximum noise figure of 1.4 dB and 1.7 dB from 100 MHz to 2.3 GHz for the on-wafer prototype. The LNA consumes 18 mW from 1.8 V supply and occupies an area of 0.06 mm </t>
    </r>
    <r>
      <rPr>
        <sz val="8"/>
        <color rgb="FF333333"/>
        <rFont val="Calibri"/>
        <family val="2"/>
        <scheme val="minor"/>
      </rPr>
      <t>2</t>
    </r>
    <r>
      <rPr>
        <sz val="11"/>
        <color rgb="FF333333"/>
        <rFont val="Calibri"/>
        <family val="2"/>
        <scheme val="minor"/>
      </rPr>
      <t> .</t>
    </r>
  </si>
  <si>
    <t>An Inductor-Less Noise-Cancelling Broadband Low Noise Amplifier With Composite Transistor Pair in 90 nm CMOS Technology</t>
  </si>
  <si>
    <t>https://ieeexplore.ieee.org/stamp/stamp.jsp?tp=&amp;arnumber=5741740</t>
  </si>
  <si>
    <t>Mohamed El-Nozahi, Ahmed A. Helmy, Edgar Sánchez-Sinencio, Kamran Entesari</t>
  </si>
  <si>
    <t>A Fully-Integrated 16-Element Phased-Array Receiver in SiGe BiCMOS for 60-GHz Communications</t>
  </si>
  <si>
    <r>
      <t>A fully-integrated 16-element 60-GHz phased-array receiver is implemented in IBM 0.12-μm SiGe BiCMOS technology. The receiver employs RF-path phase-shifting and is designed for multi-Gb/s non-line of sight links in the 60-GHz ISM band (IEEE 802.15.3c and 802.11ad). Each RF front-end includes variable-gain LNAs and phase shifters with each front-end capable of 360° variable phase shift (11.25° phase resolution) from 57 GHz to 66 GHz with coarse/fine gain steps. A detailed analysis of the noise trade-offs in the receiver array design is presented to motivate architectural choices. The hybrid active and passive signal-combining network in the receiver uses a differential cross-coupled Gysel power combiner that reduces combiner loss and area. Each array front-end has 6.8-dB noise figure (at 22°C ) and the array has -10 dB to 58 dB programmable gain from single-input to output. Sixteen 60-GHz aperture-coupled patch-antennas and the RX IC are packaged together in multi-layer organic and LTCC packages. The packaged RX IC is capable of operating in all four IEEE 802.15.3c channels (58.32 to 64.8 GHz). Beam-forming and beam-steering measurements show good performance with 50-ns beam switching time. 5.3-Gb/s OFDM 16-QAM and 4.5 Gb/s SC 16-QAM links are demonstrated using the packaged RX ICs. Both line-of-sight links (~7.8 m spacing) and non-line-of-sight links using reflections (~9 m total path length) have been demonstrated with better than -18 dB EVM. The 16-element receiver consumes 1.8 W and occupies 37.7 mm </t>
    </r>
    <r>
      <rPr>
        <sz val="8"/>
        <color rgb="FF333333"/>
        <rFont val="Calibri"/>
        <family val="2"/>
        <scheme val="minor"/>
      </rPr>
      <t>2</t>
    </r>
    <r>
      <rPr>
        <sz val="11"/>
        <color rgb="FF333333"/>
        <rFont val="Calibri"/>
        <family val="2"/>
        <scheme val="minor"/>
      </rPr>
      <t> of die area.</t>
    </r>
  </si>
  <si>
    <t>Arun Natarajan, Scott K. Reynolds, Ming-Da Tsai, et.al</t>
  </si>
  <si>
    <t>https://ieeexplore.ieee.org/stamp/stamp.jsp?tp=&amp;arnumber=5754329</t>
  </si>
  <si>
    <t>https://ieeexplore.ieee.org/stamp/stamp.jsp?tp=&amp;arnumber=5986757</t>
  </si>
  <si>
    <t>An Ultra-Low Voltage, Low-Noise, High Linearity 900-MHz Receiver With Digitally Calibrated In-Band Feed-Forward Interferer Cancellation in 65-nm CMOS</t>
  </si>
  <si>
    <r>
      <t>We present an ultra-low voltage, highly linear, low noise integrated CMOS receiver operating from a 0.6-V supply. The receiver incorporates programmable, in-band feed-forward interferer cancellation at the baseband to obtain high linearity and low noise operation at ultra-low supply voltages. Being able to reject adjacent channel or far-out blockers, the digitally calibrated interferer cancellation improves the IIP </t>
    </r>
    <r>
      <rPr>
        <sz val="8"/>
        <color rgb="FF333333"/>
        <rFont val="Calibri"/>
        <family val="2"/>
        <scheme val="minor"/>
      </rPr>
      <t>3</t>
    </r>
    <r>
      <rPr>
        <sz val="11"/>
        <color rgb="FF333333"/>
        <rFont val="Calibri"/>
        <family val="2"/>
        <scheme val="minor"/>
      </rPr>
      <t> and IIP </t>
    </r>
    <r>
      <rPr>
        <sz val="8"/>
        <color rgb="FF333333"/>
        <rFont val="Calibri"/>
        <family val="2"/>
        <scheme val="minor"/>
      </rPr>
      <t>2</t>
    </r>
    <r>
      <rPr>
        <sz val="11"/>
        <color rgb="FF333333"/>
        <rFont val="Calibri"/>
        <family val="2"/>
        <scheme val="minor"/>
      </rPr>
      <t> by more than 13 dB and 8 dB respectively with very little impact on the receiver noise figure. As such, it breaks the trade-off between linearity and noise figure, making it possible to use a high-gain RF front-end to achieve low noise figure without affecting the linearity of the ultra-low voltage baseband circuits. The 0.6-V 900-MHz direct-conversion receiver prototype integrates a differential LNA, RF transconductors, linear quadrature current driven passive mixers, feed-forward interferer cancellation circuits, baseband variable gain transimpedance amplifiers and second-order channel-select filters. It has a nominal conversion gain of 56.4 dB, noise figure of 5 dB, IIP </t>
    </r>
    <r>
      <rPr>
        <sz val="8"/>
        <color rgb="FF333333"/>
        <rFont val="Calibri"/>
        <family val="2"/>
        <scheme val="minor"/>
      </rPr>
      <t>3</t>
    </r>
    <r>
      <rPr>
        <sz val="11"/>
        <color rgb="FF333333"/>
        <rFont val="Calibri"/>
        <family val="2"/>
        <scheme val="minor"/>
      </rPr>
      <t> of -9.8 dBm and IIP </t>
    </r>
    <r>
      <rPr>
        <sz val="8"/>
        <color rgb="FF333333"/>
        <rFont val="Calibri"/>
        <family val="2"/>
        <scheme val="minor"/>
      </rPr>
      <t>2</t>
    </r>
    <r>
      <rPr>
        <sz val="11"/>
        <color rgb="FF333333"/>
        <rFont val="Calibri"/>
        <family val="2"/>
        <scheme val="minor"/>
      </rPr>
      <t> of 21.4 dBm. The receiver operates reliably from 0.55-0.65 V, consumes 26.4 mW and occupies an active area of 1.7 mm </t>
    </r>
    <r>
      <rPr>
        <sz val="8"/>
        <color rgb="FF333333"/>
        <rFont val="Calibri"/>
        <family val="2"/>
        <scheme val="minor"/>
      </rPr>
      <t>2</t>
    </r>
    <r>
      <rPr>
        <sz val="11"/>
        <color rgb="FF333333"/>
        <rFont val="Calibri"/>
        <family val="2"/>
        <scheme val="minor"/>
      </rPr>
      <t> in a 65-nm low-power CMOS process, of which the feed-forward interferer cancellation circuits consume 11.4 mW and occupies 0.43 mm</t>
    </r>
    <r>
      <rPr>
        <sz val="8"/>
        <color rgb="FF333333"/>
        <rFont val="Calibri"/>
        <family val="2"/>
        <scheme val="minor"/>
      </rPr>
      <t>2</t>
    </r>
    <r>
      <rPr>
        <sz val="11"/>
        <color rgb="FF333333"/>
        <rFont val="Calibri"/>
        <family val="2"/>
        <scheme val="minor"/>
      </rPr>
      <t> .</t>
    </r>
  </si>
  <si>
    <t>Ajay Balankutty, Peter R. Kinget</t>
  </si>
  <si>
    <t>Design and Analysis of a W-Band SiGe Direct-Detection-Based Passive Imaging Receiver</t>
  </si>
  <si>
    <t>A W-band direct-detection-based receiver front-end for millimeter-wave passive imaging in a 0.18-μm BiCMOS process is presented. The proposed system is comprised of a direct-detection front-end architecture employing a balanced LNA with an embedded Dicke switch, power detector, and baseband circuitry. The use of a balanced LNA with an embedded Dicke switch minimizes front-end noise figure, resulting in a great imaging resolution. The receiver chip achieves a measured responsivity of 20-43 MV/W with a front-end 3-dB bandwidth of 26 GHz, while consuming 200 mW. The calculated NETD of the SiGe receiver chip is 0.4 K with a 30 ms integration time. This work demonstrates the possibility of silicon-based system-on-chip solutions as lower cost alternatives to compound semiconductor multi-chip imaging modules.</t>
  </si>
  <si>
    <t>Leland Gilreath, Vipul Jain, Payam Heydari</t>
  </si>
  <si>
    <t>https://ieeexplore.ieee.org/stamp/stamp.jsp?tp=&amp;arnumber=6015499</t>
  </si>
  <si>
    <t>Shih-Jou Huang, Yu-Ching Yeh, Huaide Wan, et.al</t>
  </si>
  <si>
    <t>https://ieeexplore.ieee.org/stamp/stamp.jsp?tp=&amp;arnumber=6034535</t>
  </si>
  <si>
    <t>W-Band BPSK and QPSK Transceivers With Costas-Loop Carrier Recovery in 65-nm CMOS Technology</t>
  </si>
  <si>
    <r>
      <t>This paper presents two fully integrated binary phase-shift keying (BPSK) and quadrature phase-shift keying (QPSK) transceivers operating at W-band [carrier frequency = 84 GHz (BPSK), and 87 GHz (QPSK)]. Including RF front-end, Costas-loop-based carrier and data recovery, and antenna assembly technique, the BPSK transceiver prototype achieves a 2.5-Gb/s data link with BER &lt;; 10 </t>
    </r>
    <r>
      <rPr>
        <sz val="8"/>
        <color rgb="FF333333"/>
        <rFont val="Calibri"/>
        <family val="2"/>
        <scheme val="minor"/>
      </rPr>
      <t>-9</t>
    </r>
    <r>
      <rPr>
        <sz val="11"/>
        <color rgb="FF333333"/>
        <rFont val="Calibri"/>
        <family val="2"/>
        <scheme val="minor"/>
      </rPr>
      <t> while consuming 202 mW (Tx) and 125 mW (Rx) from a 1.2-V supply. The QPSK TRx achieves a 2.5-Gb/s data link with BER &lt;; 10 </t>
    </r>
    <r>
      <rPr>
        <sz val="8"/>
        <color rgb="FF333333"/>
        <rFont val="Calibri"/>
        <family val="2"/>
        <scheme val="minor"/>
      </rPr>
      <t>-11</t>
    </r>
    <r>
      <rPr>
        <sz val="11"/>
        <color rgb="FF333333"/>
        <rFont val="Calibri"/>
        <family val="2"/>
        <scheme val="minor"/>
      </rPr>
      <t> while consuming 212 mW (Tx) and 166 mW (Rx) from a 1.2-V supply. Both cases are measured with link distance of 1 m and antenna gain of 24 dBi.</t>
    </r>
  </si>
  <si>
    <t>Alexandre Siligaris, Olivier Richard, Baudouin Martineau, et.al</t>
  </si>
  <si>
    <t>https://ieeexplore.ieee.org/stamp/stamp.jsp?tp=&amp;arnumber=6041043&amp;tag=1</t>
  </si>
  <si>
    <t>A 65-nm CMOS Fully Integrated Transceiver Module for 60-GHz Wireless HD Applications</t>
  </si>
  <si>
    <t>A fully integrated WirelessHD compatible 60-GHz transceiver module in 65-nm CMOS process is presented, covering the four standard channels. The silicon die is flip-chipped on top of a low-cost HTCC module which also includes an external 65-nm CMOS PA and large beamwidth antennas targeting industrial manufacturability. The module achieves a 16QAM OFDM modulation wireless link with 3.8 Gbps over 1 m. The transceiver consumption is 454 mW in RX mode (including PLL) and 1090 mW in TX mode (including PLL and external PA).</t>
  </si>
  <si>
    <t>Maryam Tabesh, Jiashu Chen, Cristian Marcu, et.al</t>
  </si>
  <si>
    <t>https://ieeexplore.ieee.org/stamp/stamp.jsp?tp=&amp;arnumber=6062656</t>
  </si>
  <si>
    <t>A 65 nm CMOS 4-Element Sub-34 mW/Element 60 GHz Phased-Array Transceiver</t>
  </si>
  <si>
    <t>This paper describes a low power and element-scalable 60 GHz 4-element phased array transceiver implemented in a standard 65 nm CMOS process. Using a 1.2 V supply, the array consumes &lt;;34 mW/element including LO synthesis and distribution. Energy and area efficiency are achieved by utilizing a baseband phase shifting architecture, holistic impedance optimization, and lumped-element based design. Each receiver (RX) element provides 24 dB of gain with an average noise figure (NF) of 6.8 dB while the total saturated output power of the transmitter (TX) is 4.5 dBm. The array achieves 360° of phase shifting range with a worst-case measured phase resolution of 6 bits (TX)/ 5 bits (RX) while maintaining amplitude variations less than ±0.5 dB.</t>
  </si>
  <si>
    <t>Joonsung Bae, Kiseok Song, Hyungwoo Lee, et.al</t>
  </si>
  <si>
    <t>An energy-efficient wireless body-area-network (WBAN) transceiver is implemented in 0.18-μm CMOS technology with 1-V supply voltage. For the low energy consumption, the body channel communication (BCC) PHY is utilized with the theoretical results of Maxwell's equation analysis behind the BCC. Based on the channel analysis, the resonance matching (RM) and contact impedance sensing (CIS) techniques are proposed to enhance the quality of the body channel. A double-FSK modulation scheme is adopted with high scalability to fulfill the IEEE 802.15.6 Task Group specifications. In addition, a low-power double-FSK transceiver is implemented by five circuit techniques: 1) a reconfigurable LNA with CIS; 2) a current-reuse wideband demodulator; 3) a divider-based local oscillator (LO) generation with duty-cycle correction in the receiver; 4) a reconfigurable driver with RM; and 5) a divider-based digital double-FSK modulator in the transmitter. As a result, fully WBAN compatible receiver and transmitter consume 2.4 and 2 mW, respectively, at a data rate of 10 Mb/s, corresponding to energy consumption of 0.24 nJ per received bit and 0.2 nJ per transmitted bit.</t>
  </si>
  <si>
    <t>A 0.24-nJ/b Wireless Body-Area-Network Transceiver With Scalable Double-FSK Modulation</t>
  </si>
  <si>
    <t>https://ieeexplore.ieee.org/stamp/stamp.jsp?tp=&amp;arnumber=6069578</t>
  </si>
  <si>
    <t>François Belmas, Frédéric Hameau, Jean-Michel Fournier</t>
  </si>
  <si>
    <t>https://ieeexplore.ieee.org/stamp/stamp.jsp?tp=&amp;arnumber=6153029</t>
  </si>
  <si>
    <t>A Low Power Inductorless LNA With Double Gm Enhancement in 130 nm CMOS</t>
  </si>
  <si>
    <r>
      <t>This paper presents the design of a low power differential Low Noise Amplifier (LNA) in 130 nm CMOS technology for 2.45 GHz ISM band applications. The circuit benefits from several g </t>
    </r>
    <r>
      <rPr>
        <sz val="8"/>
        <color rgb="FF333333"/>
        <rFont val="Calibri"/>
        <family val="2"/>
        <scheme val="minor"/>
      </rPr>
      <t>m</t>
    </r>
    <r>
      <rPr>
        <sz val="11"/>
        <color rgb="FF333333"/>
        <rFont val="Calibri"/>
        <family val="2"/>
        <scheme val="minor"/>
      </rPr>
      <t> -enhancements. These techniques provide a high gain and reduced Noise Figure (NF) in spite of the low intrinsic g </t>
    </r>
    <r>
      <rPr>
        <sz val="8"/>
        <color rgb="FF333333"/>
        <rFont val="Calibri"/>
        <family val="2"/>
        <scheme val="minor"/>
      </rPr>
      <t>m</t>
    </r>
    <r>
      <rPr>
        <sz val="11"/>
        <color rgb="FF333333"/>
        <rFont val="Calibri"/>
        <family val="2"/>
        <scheme val="minor"/>
      </rPr>
      <t> of the MOS transistors. Moreover, the circuit is fully inductorless. Main design points are described and the performance tradeoffs of the circuit are discussed. A prototype has been implemented and it exhibits a 20 dB gain with a 4 dB NF while dissipating 1.32 mW. The IIP </t>
    </r>
    <r>
      <rPr>
        <sz val="8"/>
        <color rgb="FF333333"/>
        <rFont val="Calibri"/>
        <family val="2"/>
        <scheme val="minor"/>
      </rPr>
      <t>3</t>
    </r>
    <r>
      <rPr>
        <sz val="11"/>
        <color rgb="FF333333"/>
        <rFont val="Calibri"/>
        <family val="2"/>
        <scheme val="minor"/>
      </rPr>
      <t> is -12 dBm for an input compression point of -21 dBm.</t>
    </r>
  </si>
  <si>
    <r>
      <t>A silicon integrated LNA for WCDMA cellular infrastructure applications, e.g., base stations will be demonstrated. The LNA is designed for WCDMA band II, i.e., 1.92-1.98 GHz, and reaches a 0.9 dB NF at 27 </t>
    </r>
    <r>
      <rPr>
        <sz val="8"/>
        <color rgb="FF333333"/>
        <rFont val="Calibri"/>
        <family val="2"/>
        <scheme val="minor"/>
      </rPr>
      <t>°</t>
    </r>
    <r>
      <rPr>
        <sz val="11"/>
        <color rgb="FF333333"/>
        <rFont val="Calibri"/>
        <family val="2"/>
        <scheme val="minor"/>
      </rPr>
      <t> C and 1.2 dB at 65 </t>
    </r>
    <r>
      <rPr>
        <sz val="8"/>
        <color rgb="FF333333"/>
        <rFont val="Calibri"/>
        <family val="2"/>
        <scheme val="minor"/>
      </rPr>
      <t>°</t>
    </r>
    <r>
      <rPr>
        <sz val="11"/>
        <color rgb="FF333333"/>
        <rFont val="Calibri"/>
        <family val="2"/>
        <scheme val="minor"/>
      </rPr>
      <t> C. A 0.1 dB NF improvement is obtained when the first gain stage is implemented using a cascode topology rather than a two-stage topology. The output IP3 is +40 dBm (+38 dBm) at 27 </t>
    </r>
    <r>
      <rPr>
        <sz val="8"/>
        <color rgb="FF333333"/>
        <rFont val="Calibri"/>
        <family val="2"/>
        <scheme val="minor"/>
      </rPr>
      <t>°</t>
    </r>
    <r>
      <rPr>
        <sz val="11"/>
        <color rgb="FF333333"/>
        <rFont val="Calibri"/>
        <family val="2"/>
        <scheme val="minor"/>
      </rPr>
      <t> C and +37 dBm (+36 dBm) at 65 </t>
    </r>
    <r>
      <rPr>
        <sz val="8"/>
        <color rgb="FF333333"/>
        <rFont val="Calibri"/>
        <family val="2"/>
        <scheme val="minor"/>
      </rPr>
      <t>°</t>
    </r>
    <r>
      <rPr>
        <sz val="11"/>
        <color rgb="FF333333"/>
        <rFont val="Calibri"/>
        <family val="2"/>
        <scheme val="minor"/>
      </rPr>
      <t> C for the two-stage (cascode) topology. Both options have an input return loss better than 20 dB and output return loss better than 20 dB. A bypass mode and variable attenuation are provided to cope with large input signals. Implemented in a SiGe:C BiCMOS technology, the two-die MMIC is packaged on a single laminate. The total solution consumes just below 200 mA from a 5 V supply.</t>
    </r>
  </si>
  <si>
    <t>A 1.95 GHz Sub-1 dB NF, +40 dBm OIP3 WCDMA LNA Module</t>
  </si>
  <si>
    <t>Jos Bergervoet, Domine M. W. Leenaerts, Gerben W. de Jong, et.al</t>
  </si>
  <si>
    <t>https://ieeexplore.ieee.org/stamp/stamp.jsp?tp=&amp;arnumber=6222357</t>
  </si>
  <si>
    <t>This paper describes a GaN monolithic microwave integrated circuit (MMIC) cascode feedback amplifier design which achieves up to 8 W of output power and greater than +51 dBm OIP3 across a 250-3000-MHz decade bandwidth. The LNA also achieves 20 dB of flat-gain across the band. The design was fabricated with a 0.25-μm GaN HEMT technology with an fT ~ 50 GHz and a BVgd &gt;; 60 V. A 40-V 750-mA high-bias LNA design achieves an OIP3 of 51.9 dBm, P1dB of 38.5 dBm, and NF ~ 3 dB at 2 GHz . A 40-V 500-mA medium-bias LNA design achieves a lower NF ~ 2.5 dB , an OIP3 of 48.4 dBm, and a P1dB of 36.8 dBm at the same frequency. At an optimum low-noise bias of 20 V and 300 mA, a NF ~ 0.96 dB, an OIP3 of 43.4 dBm, and a linear P1dB of ~32.2 dBm was also obtained. The combination of high OIP3 and low NF from these GaN MMIC LNA designs exceed that achieved by many state-of-the-art PHEMT, HBT, and HFET technologies for decade-BW MMIC amplifiers operating in the popular wireless and wire-line S- and C-band frequency ranges. The linear GaN LNA performance demonstrated here can enable new generations of software-defined and reconfigurable radios which require ultra-linearity over multiple octaves of bandwidth.</t>
  </si>
  <si>
    <t>An 8-W 250-MHz to 3-GHz Decade-Bandwidth Low-Noise GaN MMIC Feedback Amplifier With &gt; +51-dBm OIP3</t>
  </si>
  <si>
    <t>https://ieeexplore.ieee.org/stamp/stamp.jsp?tp=&amp;arnumber=6259820</t>
  </si>
  <si>
    <t>Kevin W. Kobayashi</t>
  </si>
  <si>
    <t>The local oscillator harmonics corrupt the desired signal in broadband RF receivers by downconverting interferers. This paper proposes the notion of harmonic rejection in the front-end low-noise amplifier so as to relax the stringent matching required of harmonic-reject mixers. Described are frequency response shaping techniques by feedforward and unilateral Miller capacitance multiplication for a signal bandwidth of 100 MHz to 10 GHz. A calibration algorithm is also proposed for the tuning of the frequency response. An experimental prototype fabricated in 65-nm digital CMOS technology provides at least 20 dB of rejection while consuming 8.64 mW with a 1.2-V supply.</t>
  </si>
  <si>
    <t>A Harmonic-Rejecting CMOS LNA for Broadband Radios</t>
  </si>
  <si>
    <t>Joung Won Park, Behzad Razavi</t>
  </si>
  <si>
    <t>https://ieeexplore.ieee.org/stamp/stamp.jsp?tp=&amp;arnumber=6416958</t>
  </si>
  <si>
    <t>This paper presents the design and characterization of two broadband millimeter-wave LNAs realized in 0.25- μm and 0.13- μm SiGe BiCMOS technologies. Both circuits adopt a T-type matching topology to achieve the wide bandwidth (47-77 GHz for the V-band LNA and 70-140 GHz for the W/F-band LNA). The measured maximum gain is about 23 dB for both LNAs. The measured noise figure (NF) is below 7.2 dB (from 50 to 75 GHz) for the V-band LNA and below 7 dB (from 78 to 110 GHz) for the W/F-band LNA. Both LNAs are differential circuits and consume 52/54 mW dc power. To the best of the authors' knowledge, both LNAs achieve the widest bandwidth in corresponding frequency bands with very competitive gain and NF.</t>
  </si>
  <si>
    <t>Broadband Millimeter-Wave LNAs (47–77 GHz and 70–140 GHz) Using a T-Type Matching Topology</t>
  </si>
  <si>
    <t>Gang Liu, Hermann Schumacher</t>
  </si>
  <si>
    <t>https://ieeexplore.ieee.org/stamp/stamp.jsp?tp=&amp;arnumber=6542018</t>
  </si>
  <si>
    <t>This paper presents a 1.6-mW 2.4-GHz receiver that operates from a single supply of 300 mV allowing direct powering from various energy harvesting sources. We extensively utilize transformer coupling between stages to reduce headroom requirements. We forward-bias bulk-source junctions to lower threshold voltages where appropriate. A single-ended 2.4 GHz RF input is amplified and converted to a differential signal before down-converting to a low IF of 1 to 10 MHz. A chain of IF amplifiers and narrowband filters are interleaved to perform programmable channel selection. The chip is fabricated in a 65-nm CMOS process. The receiver achieves -91.5-dBm sensitivity for a BER of 10e-3.</t>
  </si>
  <si>
    <t>Design of a 300-mV 2.4-GHz Receiver Using Transformer-Coupled Techniques</t>
  </si>
  <si>
    <t>Fan Zhang, Yasunori Miyahara, Brian P. Otis</t>
  </si>
  <si>
    <t>https://ieeexplore.ieee.org/stamp/stamp.jsp?tp=&amp;arnumber=6613557</t>
  </si>
  <si>
    <t>This paper presents a wireless transceiver intended for insect-based wireless sensor networks (WSNs). The transceiver utilizes several design techniques developed to meet the challenging low power and low size requirements in insect-based WSNs. The techniques include current reuse in the voltage-controlled oscillator (VCO) and power amplifier (PA), fast PLL on/off switching for low-power on/off keying (OOK) modulation, and switching between transmit and receive (TX/RX) modes without an off-chip switch. Also, the VCO, PA, low noise amplifier (LNA), OOK modulator, and TX/RX switch are co-designed and integrated into a single block to reduce the system complexity significantly. The transceiver is designed and fabricated in a 0.13-μm CMOS process. The transmitter provides an output power in the range of -30 dBm to -4.4 dBm while consuming an average power of 1.2 mW to 4.5 mW. The phase locked-loop (PLL) does not use a high-Q external resonator, and its phase noise depends on the PA output power because of the current reuse in the VCO and PA. The PLL phase noise at 1 MHz offset at 2.4 GHz varies from -103.3 dBc/Hz to -116.7 dBc/Hz. The receiver achieves a sensitivity of -90 dBm at 1 Mbps data rate for a BER = 0.1%. An example wireless sensor node design utilizing the proposed wireless transceiver achieves a modest weight of 1 gram, and a small form factor of 12.5 mm × 12.5 mm.</t>
  </si>
  <si>
    <t>A –90 dBm Sensitivity Wireless Transceiver Using VCO-PA-LNA-Switch-Modulator Co-Design for Low Power Insect-Based Wireless Sensor Networks</t>
  </si>
  <si>
    <t>Serkan Sayilir, Wing-Fai Loke, Jangjoon Lee, et.al</t>
  </si>
  <si>
    <t>https://ieeexplore.ieee.org/stamp/stamp.jsp?tp=&amp;arnumber=6680696</t>
  </si>
  <si>
    <t>A highly linear LNA is implemented in a 0.18 μm SOI CMOS process for 1 GHz SAW-less receiver applications. To achieve lower noise figure (NF) than conventional simultaneous noise and input matching methods, a capacitive loading based simultaneous noise and input matching technique reducing the NF degradation coming from a lossy gate inductor has been devised. In addition, in order to improve both the 1 dB gain compression point (CP1dB) and the third-order intercept point (IP3) without sacrificing NF, a large-signal transconductance linearization method adopting body-bias control and complementary-superposition is proposed. The proposed LNA shows a measured input-referred CP1dB of 3 dBm, 1 dB desensitization point (B1dB) of 0 dBm and IB (in-band)-IIP3 of 22 dBm with gain of 10.7 dB and NF of 1.3 dB at 1 GHz while driving a 50 Ω load impedance. It draws 20 mA with a buffer stage from a 2.5 V supply voltage.</t>
  </si>
  <si>
    <t>A Highly Linear 1 GHz 1.3 dB NF CMOS Low-Noise Amplifier With Complementary Transconductance Linearization</t>
  </si>
  <si>
    <t>Bum-Kyum Kim, Donggu Im, Jaeyoung Choi, Kwyro Lee</t>
  </si>
  <si>
    <t>https://ieeexplore.ieee.org/stamp/stamp.jsp?tp=&amp;arnumber=6809228</t>
  </si>
  <si>
    <r>
      <t>A field-programmable (FP) low-noise amplifier (LNA) with interferer-reflecting (IR) loop is introduced. The user can program its gain, noise figure, linearity and power consumption during operation. The IR loop uses a frequency-selective shunt-shunt feedback around the noise-canceling LNA to reduce the input impedance out of band and to suppress the input voltage swing created by blockers. A notch filter at the desired operation frequency in the feedback path results in selectivity at the RF input so that all out-of-band blockers are suppressed without the need to know blocker locations and the LNA input linearity is improved. 65 nm CMOS chip prototypes have been implemented with on-chip LC, bondwire LC or N-path notch filters. The FP N-path IR-LNA operates from 0.2 to 1.6 GHz; with the IR disabled, the NF is 2.4 dB, B1 dB is -15 dBm, and the OOB-IIP</t>
    </r>
    <r>
      <rPr>
        <sz val="8"/>
        <color rgb="FF333333"/>
        <rFont val="Calibri"/>
        <family val="2"/>
        <scheme val="minor"/>
      </rPr>
      <t>3</t>
    </r>
    <r>
      <rPr>
        <sz val="11"/>
        <color rgb="FF333333"/>
        <rFont val="Calibri"/>
        <family val="2"/>
        <scheme val="minor"/>
      </rPr>
      <t> is +2.5 dBm with a 13 mW power consumption; with the IR on, the NF is 3.6 dB, the RF channel input bandwidth is 20 MHz, the B1 dB is -4 dBm and the OOB-IIP</t>
    </r>
    <r>
      <rPr>
        <sz val="8"/>
        <color rgb="FF333333"/>
        <rFont val="Calibri"/>
        <family val="2"/>
        <scheme val="minor"/>
      </rPr>
      <t>3</t>
    </r>
    <r>
      <rPr>
        <sz val="11"/>
        <color rgb="FF333333"/>
        <rFont val="Calibri"/>
        <family val="2"/>
        <scheme val="minor"/>
      </rPr>
      <t> is +14.5 dBm. The LNA has an analog V</t>
    </r>
    <r>
      <rPr>
        <sz val="8"/>
        <color rgb="FF333333"/>
        <rFont val="Calibri"/>
        <family val="2"/>
        <scheme val="minor"/>
      </rPr>
      <t>DD</t>
    </r>
    <r>
      <rPr>
        <sz val="11"/>
        <color rgb="FF333333"/>
        <rFont val="Calibri"/>
        <family val="2"/>
        <scheme val="minor"/>
      </rPr>
      <t> of 1.6 V and an LO V</t>
    </r>
    <r>
      <rPr>
        <sz val="8"/>
        <color rgb="FF333333"/>
        <rFont val="Calibri"/>
        <family val="2"/>
        <scheme val="minor"/>
      </rPr>
      <t>DD</t>
    </r>
    <r>
      <rPr>
        <sz val="11"/>
        <color rgb="FF333333"/>
        <rFont val="Calibri"/>
        <family val="2"/>
        <scheme val="minor"/>
      </rPr>
      <t> of 1 V and dissipates 15.8 to 20.2 mW across operating frequencies.</t>
    </r>
  </si>
  <si>
    <t>Field-Programmable LNAs With Interferer-Reflecting Loop for Input Linearity Enhancement</t>
  </si>
  <si>
    <t>Jianxun Zhu, Harish Krishnaswamy, Peter R. Kinget</t>
  </si>
  <si>
    <t>https://ieeexplore.ieee.org/stamp/stamp.jsp?tp=&amp;arnumber=6982232</t>
  </si>
  <si>
    <r>
      <t>This work examines the use of a forward body biasing (FBB) scheme to mitigate output conductance degradation due to short channel effects in ultra-low voltage (ULV) circuits with no additional power consumption. It is shown that FBB boosts the output resistance of a transistor such that the intrinsic gain reduction due to low-supply voltages can be compensated. This technique is then used to implement a low-noise amplifier (LNA) tailored for ultra-low power (ULP) and ULV applications. The proposed LNA uses common-gate (CG) NMOS transistors as input devices in a complementary current-reuse structure. Low-power input matching is achieved by employing an active shunt-feedback architecture while the current of the feedback stage is also reused by the input transistor. Moreover, a separate FBB scheme is exploited to tune the feedback coefficient. An inductive gm-boosting technique is used to increase the bandwidth of the LNA without additional power consumption. The proposed LNA is implemented in an IBM 0.13 μm 1P8M CMOS technology and occupies 0.39 mm </t>
    </r>
    <r>
      <rPr>
        <sz val="8"/>
        <color rgb="FF333333"/>
        <rFont val="Calibri"/>
        <family val="2"/>
        <scheme val="minor"/>
      </rPr>
      <t>2</t>
    </r>
    <r>
      <rPr>
        <sz val="11"/>
        <color rgb="FF333333"/>
        <rFont val="Calibri"/>
        <family val="2"/>
        <scheme val="minor"/>
      </rPr>
      <t> . The measured LNA has a 14 dB gain, 4 dB minimum noise figure, IIP3 of -10 dBm, and 0.6-4.2 GHz bandwidth, while consuming only 500 μA from a 0.5 V supply. The LNA operates with supplies as low as 0.4 V while maintaining good performance.</t>
    </r>
  </si>
  <si>
    <t>Short Channel Output Conductance Enhancement Through Forward Body Biasing to Realize a 0.5 V 250μW0.6–4.2 GHz Current-Reuse CMOS LNA</t>
  </si>
  <si>
    <t>https://ieeexplore.ieee.org/stamp/stamp.jsp?tp=&amp;arnumber=7366760</t>
  </si>
  <si>
    <t>Mahdi Parvizi, Karim Allidina, Mourad N. El-Gamal</t>
  </si>
  <si>
    <t>To overcome limitations on bandwidth extension in conventional design techniques, a novel pole-converging technique with transformer feedback for intrastage bandwidth extension is proposed and analyzed in this paper. For verification, a three-stage cascode low-noise amplifier (LNA) based on the pole converging and negative drain-source transformer feedback is designed and implemented in a 65-nm CMOS technology. Consuming 27 mW dc power from a 1.8 V supply, the fabricated prototype exhibits peak power gain of 18.5 dB, minimum noise figure of 5.5 dB, 3-dB bandwidth of 30 GHz, and fractional bandwidth of 38.7%. The bandwidth of the three-stage cascode LNA is significantly extended without increasing power consumption and die size.</t>
  </si>
  <si>
    <t>Pole-Converging Intrastage Bandwidth Extension Technique for Wideband Amplifiers</t>
  </si>
  <si>
    <t>https://ieeexplore.ieee.org/stamp/stamp.jsp?tp=&amp;arnumber=7814243</t>
  </si>
  <si>
    <t>Guangyin Feng, Chirn Chye Boon, Fanyi Meng, et.al</t>
  </si>
  <si>
    <t>A complementary noise-canceling CMOS low-noise amplifier (LNA) with enhanced linearity is proposed. An active shunt feedback input stage offers input matching, while extended input matching bandwidth is acquired by a π-type matching network. The intrinsic noise cancellation mechanism maintains acceptable noise figure (NF) with reduced power consumption due to the current reuse principle. Multiple complementary nMOS and pMOS configurations commonly restrain nonlinear components in individual stage of the LNA. Complementary multigated transistor architecture is further employed to nullify the third-order distortion of noise-canceling stage and compensate the second-order nonlinearity of that. High third-order input intercept point (IIP3) is thus obtained, while the secondorder input intercept point (IIP2) is guaranteed by differential operation. Implemented in a 0.18-μm CMOS process, the experimental results show that the proposed LNA provides a maximum gain of 17.5 dB and an input 1-dB compression point (IP1 dB) of -3 dBm. An NF of 2.9-3.5 dB and an IIP3 of 10.6-14.3 dBm are obtained from 0.1 to 2 GHz, respectively. The circuit core only draws 9.7 mA from a 2.2 V supply.</t>
  </si>
  <si>
    <t>A Wideband Noise-Canceling CMOS LNA With Enhanced Linearity by Using Complementary nMOS and pMOS Configurations</t>
  </si>
  <si>
    <t>Benqing Guo, Jun Chen, Lei Li, et.al</t>
  </si>
  <si>
    <t>https://ieeexplore.ieee.org/stamp/stamp.jsp?tp=&amp;arnumber=7858667</t>
  </si>
  <si>
    <t>Time-division duplex (TDD) systems rely on off-chip transmit/receive (T/R) switches to isolate the RX from the high-output power of the TX, while existing on-chip T/R switching solutions are narrow-band or high loss. This paper presents a wideband integrated T/R switching technique that eliminates the conventional, lossy series T/R switch from the signal path. The system reconfigures the PA as an LNA during the receive mode, and utilizes only DC mode control switches to enable TDD co-existence. To demonstrate this technique, a polar transmitter that can be re-purposed into a common-gate LNA is implemented in 65-nm CMOS. With an integrated front-end balun transformer, the transmitter achieves 20-dBm peak output power with 32.7% peak drain efficiency. In the receive mode, the PA is reconfigured into a wideband 3.4-5.4-GHz LNA achieving -6.7-dBm P1dB, and 5.1-dB noise figure.</t>
  </si>
  <si>
    <t>A 65-nm CMOS Wideband TDD Front-End With Integrated T/R Switching via PA Re-Use</t>
  </si>
  <si>
    <t>https://ieeexplore.ieee.org/stamp/stamp.jsp?tp=&amp;arnumber=7946189</t>
  </si>
  <si>
    <t>Xiao Xiao, Amanda Pratt, Bonjern Yang, et.al</t>
  </si>
  <si>
    <t>This paper describes the analysis, design, and characterization of a high-sensitivity millimeter-wave total-power radiometer front-end integrated into a 0.25-μm SiGe:C BiCMOS technology. This prototype is composed of a two cascode stage low-noise amplifier (LNA) and a voltage-driven common-emitter square-law detector. The LNA is interfaced to the detector through a low transformation ratio (i.e., high-impedance node) to achieve an efficient wideband signal transfer. The front end achieves both a low 1/f -noise corner and a low noise-equivalent power (NEP) by combining a large area, high resistive value load resistor together with a minimum size heterojunction bipolar transistor. At 56 GHz and optimum bias, the prototype provides a 61-MV/W responsivity which combined with a 194-nV/√Hz white noise level result in a 3.2-fW/√Hz NEP when the input power is modulated with a frequency above the 30-Hz flicker noise corner. The achieved 3-dB NEP bandwidth is 6 GHz.</t>
  </si>
  <si>
    <t>A Total-Power Radiometer Front End in a 0.25- μm BiCMOS Technology With Low 1/f -Corner</t>
  </si>
  <si>
    <t>Satoshi Malotaux, Masoud Babaie, Marco Spirito</t>
  </si>
  <si>
    <t>https://ieeexplore.ieee.org/stamp/stamp.jsp?tp=&amp;arnumber=7946255</t>
  </si>
  <si>
    <r>
      <t>This paper proposes a transformer-based broadband low-noise amplifier (LNA) for millimeter-wave application. The proposed LNA has four common-source stages. Three transformers are used to connect the drains of the former transistors and the sources of the following transistors to boost the transconductances of the following transistors. Thus, the gain of the circuit is effectively increased. In addition, the noise figure (NF) is decreased because the noise contributions of the following stages are further suppressed by the application of the transformers. To enhance the gain bandwidth, the gate inductor in each inter-stage matching network is independently adjusted to separate the main poles of the four stages. The LNA is demonstrated using a commercial 65-nm CMOS process. According to the measurement results, a maximum gain of 17.7 GHz at 67 GHz and a 3-dB gain bandwidth of 35.6 GHz are achieved. The measured NF is 5.4-7.4 dB at 54-67 GHz. The tested input 1-dB gain compression point (IP1dB) ranges from -15.4 to -11.7 dBm in the entire 3-dB gain bandwidth. With 1-V power supply, the LNA consumes 19-mA dc current. The chip size is only 0.37 mm </t>
    </r>
    <r>
      <rPr>
        <sz val="8"/>
        <color rgb="FF333333"/>
        <rFont val="Calibri"/>
        <family val="2"/>
        <scheme val="minor"/>
      </rPr>
      <t>2</t>
    </r>
    <r>
      <rPr>
        <sz val="11"/>
        <color rgb="FF333333"/>
        <rFont val="Calibri"/>
        <family val="2"/>
        <scheme val="minor"/>
      </rPr>
      <t> with all pads.</t>
    </r>
  </si>
  <si>
    <t>A 54.4–90 GHz Low-Noise Amplifier in 65-nm CMOS</t>
  </si>
  <si>
    <t>https://ieeexplore.ieee.org/stamp/stamp.jsp?tp=&amp;arnumber=8007181</t>
  </si>
  <si>
    <t>Yiming Yu, Huihua Liu, Yunqiu Wu, Kai Kang</t>
  </si>
  <si>
    <t>A 0.7-V, 2.4-GHz low-power LNA combines a 1:3 front-end balun with dual-path noise and nonlinearity cancellation for the improved noise performance at low powers. In traditional noise cancellation techniques, only the noise of the main path is cancelled, while the noise of the auxiliary path is reduced by using higher power. In the proposed design, the noise and nonlinearity of both the main and the auxiliary paths are mutually cancelled allowing for low-power operation. The 2.8-dB noise figure, -10.7 dBm third-order input intercept point LNA in a Taiwan Semiconductor Manufacturing Company (TSMC)'s 65-nm GP process consumes 475 μW of power resulting in an figure of merit of 28.8 dB, which is 8.2 dB better than the state of the art.</t>
  </si>
  <si>
    <t>A 2.4-GHz, Sub-1-V, 2.8-dB NF, 475-μW Dual-Path Noise and Nonlinearity Cancelling LNA for Ultra-Low-Power Radios</t>
  </si>
  <si>
    <t>Mustafijur Rahman, Ramesh Harjani</t>
  </si>
  <si>
    <t>https://ieeexplore.ieee.org/stamp/stamp.jsp?tp=&amp;arnumber=8254349</t>
  </si>
  <si>
    <t>ISSCC</t>
  </si>
  <si>
    <t>A highly-integrated tri-band/quad-mode SiGe BiCMOS RF-to-baseband receiver for wireless CDMA/WCDMA/AMPS applications with GPS capability</t>
  </si>
  <si>
    <t>A 0.5 μm SiGe BiCMOS single-chip receiver integrates three front-ends (LNA, RF-to-IF mixer, VGA) for the cellular, PCS/IMT and GPS frequency bands, a shared I/Q demodulator, IF VCO, and UHF LO buffers. It has 2.0 dB NF and -0.6 dBm IIP3 in the cellular CDMA mode and 2.3 dB NF and -7 dBm IIP3 in the PCS mode with &lt;150 mW at 3 V.</t>
  </si>
  <si>
    <t>Vladimir Aparin, Pete Gazzerro, Jianjun Zhou, et.al</t>
  </si>
  <si>
    <t>https://ieeexplore.ieee.org/stamp/stamp.jsp?tp=&amp;arnumber=993022</t>
  </si>
  <si>
    <t>07/02/2002</t>
  </si>
  <si>
    <t>A noise-cancelling technique in a wideband LNA achieves low noise figure (NF) and source impedance matching without global feedback. The 0.25 μm LNA provides &lt;2.4 dB NF from 0.01-2 GHz, total voltage gain is 13.7 dB, -3 dB bandwidth is 0.01-1.6 GHz, S/sub 12/ is &lt;-36 dB, and S/sub 11/ is &lt;-10 dB. IIP2 is 12 dBm, and IIP3 is 0 dBm drawing 14 mA at 2.5 V.</t>
  </si>
  <si>
    <t>Noise cancelling in wideband CMOS LNAs</t>
  </si>
  <si>
    <t>F. Bruccoleri, E.A.M. Klumperink, B. Nauta</t>
  </si>
  <si>
    <t>https://ieeexplore.ieee.org/stamp/stamp.jsp?tp=&amp;arnumber=993104</t>
  </si>
  <si>
    <t>13/02/2003</t>
  </si>
  <si>
    <t>A 355 /spl mu/m /spl times/ 155 /spl mu/m LNA in 0.35 /spl mu/m SiGe BiCMOS uses a simple bias switching technique to operate in all three WLAN bands. Noise figure is 2.73 dB at 2 V. Measurements of S parameters, power gain and collector current are also reported.</t>
  </si>
  <si>
    <t>A SiGe low noise amplifier for 2.4/5.2/5.7 GHz WLAN applications</t>
  </si>
  <si>
    <t>Po-Wei Lee, Hung-Wei Chiu, Tien-Ling Hsieh, et.al</t>
  </si>
  <si>
    <t>https://ieeexplore.ieee.org/stamp/stamp.jsp?tp=&amp;arnumber=1234337</t>
  </si>
  <si>
    <t>**(This is a tri-band LNA)</t>
  </si>
  <si>
    <t>An ultra-wideband CMOS LNA for 3.1 to 10.6 GHz wireless receivers</t>
  </si>
  <si>
    <t>A UWB 3.1 to 10.6 GHz LNA employing an input three-section band-pass Chebyshev filter is reported. Fabricated in a 0.18 /spl mu/m CMOS process, -10 dB over the band, a NF of 4 dB, and an IIP3 of -6.7 dBm while consuming the IC achieves a power gain of 9.3 dB with an input match of 9 mW.</t>
  </si>
  <si>
    <t>Andrea Bevilacqua , Ali M Niknejad</t>
  </si>
  <si>
    <t>https://ieeexplore.ieee.org/stamp/stamp.jsp?tp=&amp;arnumber=1332754</t>
  </si>
  <si>
    <t>A 3 to 10 GHz LNA using a wideband LC-ladder matching network</t>
  </si>
  <si>
    <t>13/09/2004</t>
  </si>
  <si>
    <t>Reactive matching is extended to wide bandwidths using the impedance property of LC-ladder filters. A SiGe amplifier with on-chip matching network spanning 3 to 10 GHz delivers 22 dB peak gain, 2.5 dB NF and 0 dBm input IP3 at 5 GHz, with 10 mA bias current.</t>
  </si>
  <si>
    <t>A. Ismail , A. Abidi</t>
  </si>
  <si>
    <t>https://ieeexplore.ieee.org/stamp/stamp.jsp?tp=&amp;arnumber=1332755</t>
  </si>
  <si>
    <t>60GHz transceiver circuits in SiGe bipolar technology</t>
  </si>
  <si>
    <t>A 60GHz LNA, direct-downconverter, PA, and 20GHz VCO are built in a 200GHz f/sub t/,/f/sub max/, 0.12/spl mu/m SiGe technology. The 10.8mW LNA has 15dB gain, 3.4-4.4dB noise figure and -8.5dBm IIP3. The down converter has 16dB gain, &gt;50dB LO-RF isolation, and 13.4-14.8dB noise figure. The PA delivers 10dBm at 9dB gain.</t>
  </si>
  <si>
    <t>https://ieeexplore.ieee.org/stamp/stamp.jsp?tp=&amp;arnumber=1332784</t>
  </si>
  <si>
    <t>Scott Reynolds, Brian Floyd, Ullrich Pfeiffer, Thomas Zwick</t>
  </si>
  <si>
    <t>A fully integrated receive chain for UWB radio in SiGe BiCMOS is presented. The packaged device includes a wideband LNA, a mixer, and an IF filter and has an overall NF of 7.5 dB. The IIP3 of -3 dBm and the accurately controlled and steep filter characteristic enables a robust coexistence with systems working in the 2.4 and 5 GHz bands.</t>
  </si>
  <si>
    <t>An interference robust receive chain for UWB radio in SiGe BiCMOS</t>
  </si>
  <si>
    <t>https://ieeexplore.ieee.org/stamp/stamp.jsp?tp=&amp;arnumber=1493938</t>
  </si>
  <si>
    <t>J. Bergervoet, K. Harish, G. van der Weide, et.al</t>
  </si>
  <si>
    <t>10/02/2005</t>
  </si>
  <si>
    <t>A direct-conversion receiver for DVB-H</t>
  </si>
  <si>
    <t>A 240mW direct-conversion DVB-H receiver in a 0.35 /spl mu/m BiCMOS process is presented. The receiver covers UHF bands IV and V, and exhibits a nominal 80dB gain, 8.5dB NF, and 8.5dBm IIP3. The IC includes an LNA, dual quadrature mixers, baseband filtering, three 4/spl times/ VCO, an integer PLL, and a reference oscillator.</t>
  </si>
  <si>
    <t>https://ieeexplore.ieee.org/stamp/stamp.jsp?tp=&amp;arnumber=1494051</t>
  </si>
  <si>
    <t>P. Antoine, P. Bauser,  H. Beaulaton, et.al</t>
  </si>
  <si>
    <t>Low-power g/sub m/-boosted LNA and VCO circuits in 0.18 /spl mu/m CMOS</t>
  </si>
  <si>
    <t>A 5.8GHz fully integrated common-gate LNA uses a g/sub m/-boosting technique and draws 1.9mA from a 1.8V supply with 9.4dB gain 7.6dBm IIP3, and 2.5dB NF. A Colpitts differential VCO (QVCO) employs a similar method and draws 3.6mA (4.3mA) from a 2V supply. Phase noise at 50kHz and 1 MHz offset frequencies are -97dBc/Hz (-104Bc/Hz) and -128 dBc/Hz (-127dBc/Hz), respectively.</t>
  </si>
  <si>
    <t>https://ieeexplore.ieee.org/stamp/stamp.jsp?tp=&amp;arnumber=1494105</t>
  </si>
  <si>
    <t>A UWB CMOS LNA uses the Miller effect with one additional inductor to achieve a broadband input match. The LNA has a power gain&gt;15dB, S11&lt;-10.5dB, S22&lt; -13.1dB and NF&lt;2.3dB over the 3 to 5GHz range. It is fabricated in 0.18mum CMOS and draws 6.4mA from a 1.8V supply</t>
  </si>
  <si>
    <t>A 3 to 5GHz CMOS UWB LNA with input matching using miller effect</t>
  </si>
  <si>
    <t>Hyung-Jin Lee, Dong S. Ha, Sang S. Choi</t>
  </si>
  <si>
    <t>https://ieeexplore.ieee.org/stamp/stamp.jsp?tp=&amp;arnumber=1696112</t>
  </si>
  <si>
    <r>
      <t>A 5GHz broadband LNA achieves 25dB gain, 2dB NF, -14dBm IIP3 and -13dB S11 while drawing 15.5mA from a 2.7V supply. The circuit is fabricated in an RF-enhanced 90nm CMOS technology. The active die area is 0.025mm </t>
    </r>
    <r>
      <rPr>
        <sz val="8"/>
        <color rgb="FF333333"/>
        <rFont val="Calibri"/>
        <family val="2"/>
        <scheme val="minor"/>
      </rPr>
      <t>2</t>
    </r>
  </si>
  <si>
    <t>09/02/2006</t>
  </si>
  <si>
    <t>A 5GHz resistive-feedback CMOS LNA for low-cost multi-standard applications</t>
  </si>
  <si>
    <t>Jing-Hong Conan Zhan, Stewart S. Taylor</t>
  </si>
  <si>
    <t>https://ieeexplore.ieee.org/stamp/stamp.jsp?tp=&amp;arnumber=1696111</t>
  </si>
  <si>
    <r>
      <t>An integrated SiGe superheterodyne RX/TX pair capable of Gb/s data rates in the 60GHz band is described. The 6dB NF RX includes an image-reject LNA, a multistage down-converter with on-chip IF filters, a frequency tripler, a PLL, and baseband outputs. The 10 to 12dBm P </t>
    </r>
    <r>
      <rPr>
        <sz val="8"/>
        <color rgb="FF333333"/>
        <rFont val="Calibri"/>
        <family val="2"/>
        <scheme val="minor"/>
      </rPr>
      <t>1dB</t>
    </r>
    <r>
      <rPr>
        <sz val="11"/>
        <color rgb="FF333333"/>
        <rFont val="Calibri"/>
        <family val="2"/>
        <scheme val="minor"/>
      </rPr>
      <t> TX achieves 10% PAE in the final stage. It includes a PA, image-reject driver, multistage up-converter with on-chip filters, tripler, and PLL</t>
    </r>
  </si>
  <si>
    <t>A silicon 60GHz receiver and transmitter chipset for broadband communications</t>
  </si>
  <si>
    <t>https://ieeexplore.ieee.org/stamp/stamp.jsp?tp=&amp;arnumber=1696103</t>
  </si>
  <si>
    <t>Brian Floyd, Scott Reynolds, Ullrich Pfeiffer, et.al</t>
  </si>
  <si>
    <r>
      <t>A miniature V-band (50 to 75GHz) 3-stage cascode CMOS LNA implemented in 0.13mum bulk CMOS technology exhibits better than 20dB measured gain from 51 to 57.5GHz in 0.46mm </t>
    </r>
    <r>
      <rPr>
        <sz val="8"/>
        <color rgb="FF333333"/>
        <rFont val="Calibri"/>
        <family val="2"/>
        <scheme val="minor"/>
      </rPr>
      <t>2</t>
    </r>
    <r>
      <rPr>
        <sz val="11"/>
        <color rgb="FF333333"/>
        <rFont val="Calibri"/>
        <family val="2"/>
        <scheme val="minor"/>
      </rPr>
      <t> die size. The minimum NF is 7.1dB at 56.8GHz. The P </t>
    </r>
    <r>
      <rPr>
        <sz val="8"/>
        <color rgb="FF333333"/>
        <rFont val="Calibri"/>
        <family val="2"/>
        <scheme val="minor"/>
      </rPr>
      <t>1dB</t>
    </r>
    <r>
      <rPr>
        <sz val="11"/>
        <color rgb="FF333333"/>
        <rFont val="Calibri"/>
        <family val="2"/>
        <scheme val="minor"/>
      </rPr>
      <t> is -22dBm, the IIP3 is -12dBm, and the total current is 33mA</t>
    </r>
  </si>
  <si>
    <t>A Miniature V-band 3-Stage Cascode LNA in 0.13/spl mu/m CMOS</t>
  </si>
  <si>
    <t>Chieh-Min Lo, Chin-Shen Lin, Huei Wang</t>
  </si>
  <si>
    <t>https://ieeexplore.ieee.org/stamp/stamp.jsp?tp=&amp;arnumber=1696172</t>
  </si>
  <si>
    <r>
      <t>A 0.13mum CM0S LNA for 3-to-5GHz UWB receivers embedding an integrated balun is reported. The LNA includes an integrated notch filter to mitigate the interference of WLAN blockers both in the UNII and ISM bands. Measured performance includes: voltage gain of 19.4dB, S</t>
    </r>
    <r>
      <rPr>
        <sz val="8"/>
        <color rgb="FF333333"/>
        <rFont val="Calibri"/>
        <family val="2"/>
        <scheme val="minor"/>
      </rPr>
      <t>11</t>
    </r>
    <r>
      <rPr>
        <sz val="11"/>
        <color rgb="FF333333"/>
        <rFont val="Calibri"/>
        <family val="2"/>
        <scheme val="minor"/>
      </rPr>
      <t> &lt; -10dB over the entire band, P</t>
    </r>
    <r>
      <rPr>
        <sz val="8"/>
        <color rgb="FF333333"/>
        <rFont val="Calibri"/>
        <family val="2"/>
        <scheme val="minor"/>
      </rPr>
      <t>1dB</t>
    </r>
    <r>
      <rPr>
        <sz val="11"/>
        <color rgb="FF333333"/>
        <rFont val="Calibri"/>
        <family val="2"/>
        <scheme val="minor"/>
      </rPr>
      <t> &gt; -9.4dBm, and maximum notch filter attenuation of 44dB. The LNA and the notch filter consume 24mW and 7.5mW, respectively.</t>
    </r>
  </si>
  <si>
    <t>15/02/2007</t>
  </si>
  <si>
    <t>A 0.13/spl mu/m CMOS LNA with Integrated Balun and Notch Filter for 3-to-5GHz UWB Receivers</t>
  </si>
  <si>
    <t>Andrea Bevilacqua, Alessio Vallese, Christoph Sandner, et.al</t>
  </si>
  <si>
    <t>https://ieeexplore.ieee.org/stamp/stamp.jsp?tp=&amp;arnumber=4242444</t>
  </si>
  <si>
    <r>
      <t>A 1.4V wideband inductorless LNA, implemented in a 0.13mum CMOS process, consumes 25mW and occupies 0.019mm</t>
    </r>
    <r>
      <rPr>
        <sz val="8"/>
        <color rgb="FF333333"/>
        <rFont val="Calibri"/>
        <family val="2"/>
        <scheme val="minor"/>
      </rPr>
      <t>2</t>
    </r>
    <r>
      <rPr>
        <sz val="11"/>
        <color rgb="FF333333"/>
        <rFont val="Calibri"/>
        <family val="2"/>
        <scheme val="minor"/>
      </rPr>
      <t>. Measurement results show 17dB voltage gain, 7GHz BW, 2.4dB NF at 3GHz, -4.1 dBm IIP3, and -20dBm P</t>
    </r>
    <r>
      <rPr>
        <sz val="8"/>
        <color rgb="FF333333"/>
        <rFont val="Calibri"/>
        <family val="2"/>
        <scheme val="minor"/>
      </rPr>
      <t>1dB</t>
    </r>
    <r>
      <rPr>
        <sz val="11"/>
        <color rgb="FF333333"/>
        <rFont val="Calibri"/>
        <family val="2"/>
        <scheme val="minor"/>
      </rPr>
      <t>. A common-drain feedback circuit provides wideband 50Omega input matching and partial noise cancellation. A current reuse technique improves both gain and power.</t>
    </r>
  </si>
  <si>
    <t>A 1.4V 25mW Inductorless Wideband LNA in 0.13/spl mu/m CMOS</t>
  </si>
  <si>
    <t>Rashad Ramzan, Stefan Andersson, Jerzy Dabrowski, Christer Svensson</t>
  </si>
  <si>
    <t>https://ieeexplore.ieee.org/stamp/stamp.jsp?tp=&amp;arnumber=4242446</t>
  </si>
  <si>
    <t>An ESD-Protected DC-to-6GHz 9.7mW LNA in 90nm Digital CMOS</t>
  </si>
  <si>
    <r>
      <t>A 50times35mum</t>
    </r>
    <r>
      <rPr>
        <sz val="8"/>
        <color rgb="FF333333"/>
        <rFont val="Calibri"/>
        <family val="2"/>
        <scheme val="minor"/>
      </rPr>
      <t>2</t>
    </r>
    <r>
      <rPr>
        <sz val="11"/>
        <color rgb="FF333333"/>
        <rFont val="Calibri"/>
        <family val="2"/>
        <scheme val="minor"/>
      </rPr>
      <t> DC-to-6GHz LNA is designed in a digital 90nm CMOS process. It draws 8.1 mA from a 1.2V supply and achieves a minimum NF of 2.8dB and 17dB of gain. In the 6GHz bandwidth, S</t>
    </r>
    <r>
      <rPr>
        <sz val="8"/>
        <color rgb="FF333333"/>
        <rFont val="Calibri"/>
        <family val="2"/>
        <scheme val="minor"/>
      </rPr>
      <t>11</t>
    </r>
    <r>
      <rPr>
        <sz val="11"/>
        <color rgb="FF333333"/>
        <rFont val="Calibri"/>
        <family val="2"/>
        <scheme val="minor"/>
      </rPr>
      <t> is below -10dB and the IIP3 varies between -16 and -7dBm. ESD protection of 3.2kV HBM is implemented, as well as an optional second stage with gain selection adding up to 4dB of gain</t>
    </r>
  </si>
  <si>
    <t>https://ieeexplore.ieee.org/stamp/stamp.jsp?tp=&amp;arnumber=4242445</t>
  </si>
  <si>
    <t>J. Borremans, P. Wambacq, D. Linten</t>
  </si>
  <si>
    <t>A Broadband Receive Chain in 65nm CMOS</t>
  </si>
  <si>
    <r>
      <t>A fully integrated 65nm CMOS broadband RX front-end using a double-loop transformer-feedback LNA is presented. The frequency band from 2 to 8GHz is covered while the NF remains between 4.5 and 5.5dB and IIP3 is -7dBm. The active die area is 0.09mm</t>
    </r>
    <r>
      <rPr>
        <sz val="8"/>
        <color rgb="FF333333"/>
        <rFont val="Calibri"/>
        <family val="2"/>
        <scheme val="minor"/>
      </rPr>
      <t>2</t>
    </r>
    <r>
      <rPr>
        <sz val="11"/>
        <color rgb="FF333333"/>
        <rFont val="Calibri"/>
        <family val="2"/>
        <scheme val="minor"/>
      </rPr>
      <t> and the circuit consumes 51 mW from a 1.2V supply</t>
    </r>
  </si>
  <si>
    <t>S. Lee, J. Bergervoet, K.S. Harish, et.al</t>
  </si>
  <si>
    <t>https://ieeexplore.ieee.org/stamp/stamp.jsp?tp=&amp;arnumber=4242443&amp;tag=1</t>
  </si>
  <si>
    <t>A Highly Integrated 60GHz CMOS Front-End Receiver</t>
  </si>
  <si>
    <r>
      <t>A 60GHz CMOS front-end receiver is described. The receiver comprises an LNA, a quadrature-balanced downconversion mixer, a VCO, and a frequency doubler. The integrated front-end has a conversion gain of 11.8dB, an NF of 10.4dB, and an input P</t>
    </r>
    <r>
      <rPr>
        <sz val="8"/>
        <color rgb="FF333333"/>
        <rFont val="Calibri"/>
        <family val="2"/>
        <scheme val="minor"/>
      </rPr>
      <t>1dB</t>
    </r>
    <r>
      <rPr>
        <sz val="11"/>
        <color rgb="FF333333"/>
        <rFont val="Calibri"/>
        <family val="2"/>
        <scheme val="minor"/>
      </rPr>
      <t> of -15.8dBm. The receiver is implemented in a digital 0.13mum CMOS process and draws 64mA from a 1.2V supply.</t>
    </r>
  </si>
  <si>
    <t>https://ieeexplore.ieee.org/stamp/stamp.jsp?tp=&amp;arnumber=4242329</t>
  </si>
  <si>
    <t>Sohrab Emami, Chinh H. Doan, Ali M. Niknejad, Robert W. Brodersen</t>
  </si>
  <si>
    <t>A 2kV ESD-Protected 18GHz LNA with 4dB NF in 0.13μm CMOS</t>
  </si>
  <si>
    <t>07/02/2008</t>
  </si>
  <si>
    <t>As the frequency spectrum below 10GHz is becoming extremely crowded alternative higher frequency bands are getting a large attention despite their associated high dispersion losses and need for a direct line-of-sight. Recently, numerous published work have targeted the free spectrum at 60GHz, but near-future commercial applications may prefer the frequency bands at 17 to 17.2GHz (ETSI) and/or 24 to 24.2GHz (ISM band) to enable the use of cheap package options (VQFN or flip-chip), and classical board- and antenna-mounting techniques.</t>
  </si>
  <si>
    <t>https://ieeexplore.ieee.org/stamp/stamp.jsp?tp=&amp;arnumber=4523123</t>
  </si>
  <si>
    <t>Yiqun Cao, Vadim Issakov, Marc Tiebout</t>
  </si>
  <si>
    <t>A 22.3dB Voltage Gain 6.1dB NF 60GHz LNA in 65nm CMOS with Differential Output</t>
  </si>
  <si>
    <t>This paper describes a 60GHz LNA, implemented in a 65nm digital CMOS technology, that has a single-ended input and a differenntial output. At 59.3GHz, the LNA achieves a maximum voltage gain of 22.3dB (power gain of 19.3dB). The input matching is better than -lOdB over the entire 3dB bandwidth from 55.8GHz to 63.5GHz. The LNA has a minimum measured NF of 6.1dB, an output compression point of +2.7dBm and draws 29mA from a 1.2V supply.</t>
  </si>
  <si>
    <t>Christopher Weyers, Pierre Mayr, Johannes W. Kunze, Ulrich Langmann</t>
  </si>
  <si>
    <t>https://ieeexplore.ieee.org/stamp/stamp.jsp?tp=&amp;arnumber=4523122</t>
  </si>
  <si>
    <t>12/02/2009</t>
  </si>
  <si>
    <t>A 3.6mW differential common-gate CMOS LNA with positive-negative feedback</t>
  </si>
  <si>
    <t>A common-gate (CG) LNA has been widely investigated because it features superior bandwidth, linearity, stability, and robustness to PVT variations compared to a common-source (CS) topology. In spite of these advantages, the dependence of gain and NF on the restricted transconductance (gm) renders this topology unsuitable for various wireless applications. The input impedance of a CG LNA is simplified as Mgm, and the noise factor is inversely proportional to gm. In order to achieve high gain and low NF, gm should be increased, which deteriorates the 50Omega input impedance matching for a conventional CG LNA.</t>
  </si>
  <si>
    <t>https://ieeexplore.ieee.org/stamp/stamp.jsp?tp=&amp;arnumber=4977386</t>
  </si>
  <si>
    <t>A SiGe quadrature transmitter and receiver chipset for emerging high-frequency applications at 160GHz</t>
  </si>
  <si>
    <t>11/02/2010</t>
  </si>
  <si>
    <r>
      <t>A 158-to-165GHz TX and RX chipset supporting QAM modulation schemes is implemented in SiGe. Double-balanced l/Q mixers are used for direct up-/down-conversion. The LO chain consists of a VCO, a frequency prescaler, a tripler/amplifier chain, and a differential 90deg coupler. The RX further includes an LNA and the TX a PA. The RX system NF is 11 to 14 dB and the TX P </t>
    </r>
    <r>
      <rPr>
        <sz val="8"/>
        <color rgb="FF333333"/>
        <rFont val="Calibri"/>
        <family val="2"/>
        <scheme val="minor"/>
      </rPr>
      <t>sat</t>
    </r>
    <r>
      <rPr>
        <sz val="11"/>
        <color rgb="FF333333"/>
        <rFont val="Calibri"/>
        <family val="2"/>
        <scheme val="minor"/>
      </rPr>
      <t> is up to 5dBm.</t>
    </r>
  </si>
  <si>
    <t>Ullrich R Pfeiffer, Erik Öjefors, Yan Zhao</t>
  </si>
  <si>
    <t>https://ieeexplore.ieee.org/stamp/stamp.jsp?tp=&amp;arnumber=5433832</t>
  </si>
  <si>
    <t>24/02/2011</t>
  </si>
  <si>
    <t>In this paper, a 2.5GHz fully differential tuned LNA with integrated T/R switch is designed in a High-K metal gate 32nm digital CMOS process, and packaged in an SoC-compatible flip-chip package. Reliability constraints of the package severely limit the ability to depopulate soldering bumps, and RF components must be designed taking the bump location into account. The LNA achieves a 3.5dB NF, -5dBm P1dB at 2.5GHz while drawing 11 mA from a 1.8V supply. LNA performance is enabled by use of a push-pull topology that exploits the equal strength of p and n transistors to improve linearity, use of nested coupled inductors (NCI) for low-noise input matching and to reduce area. The T/R switch handles 34dBm of power with an insertion loss of 1.1dB at 2.5GHz. T/R switch performance is enabled by reuse of LNA gate inductor to enable low RX mode loss, use of remote body-contact ed TX switch with high power handling and ESD protection for a transformer coupled PA.</t>
  </si>
  <si>
    <t>https://ieeexplore.ieee.org/stamp/stamp.jsp?tp=&amp;arnumber=5746217</t>
  </si>
  <si>
    <t>Chang-Tsung Fu, Hasnain Lakdawala, Stewart S. Taylor, Krishnamurthy Soumyanath</t>
  </si>
  <si>
    <r>
      <t>The vastly under-utilized spectrum in the sub-THz frequency range enables disruptive applications including 10Gb/s chip-to-chip wireless communications and imaging/spectroscopy. Owing to aggressive scaling in feature size and device f </t>
    </r>
    <r>
      <rPr>
        <sz val="8"/>
        <color rgb="FF333333"/>
        <rFont val="Calibri"/>
        <family val="2"/>
        <scheme val="minor"/>
      </rPr>
      <t>T</t>
    </r>
    <r>
      <rPr>
        <sz val="11"/>
        <color rgb="FF333333"/>
        <rFont val="Calibri"/>
        <family val="2"/>
        <scheme val="minor"/>
      </rPr>
      <t> /f </t>
    </r>
    <r>
      <rPr>
        <sz val="8"/>
        <color rgb="FF333333"/>
        <rFont val="Calibri"/>
        <family val="2"/>
        <scheme val="minor"/>
      </rPr>
      <t>max</t>
    </r>
    <r>
      <rPr>
        <sz val="11"/>
        <color rgb="FF333333"/>
        <rFont val="Calibri"/>
        <family val="2"/>
        <scheme val="minor"/>
      </rPr>
      <t> , nanoscale CMOS technology potentially enables integration of sophisticated systems at this frequency range. For example, CMOS sub-THz signal sources and TRXs have been reported [1-4], employing techniques such as distributed active radiator (DAR) and super-harmonic signal generator. The lack of RF amplification in CMOS sub-THz TRXs reported in prior work, however, results in low efficiency (and thus higher power dissipation), and high noise-figure (NF). This paper addresses these issues by demonstrating a 210GHz TRX with on-off-keying (OOK) modulation incorporating a 2×2 TX antenna array, a 2×2 spatial combining power amplifier (PA), a fundamental frequency VCO, and a low noise amplifier (LNA) in a 32nm SOI CMOS process (f </t>
    </r>
    <r>
      <rPr>
        <sz val="8"/>
        <color rgb="FF333333"/>
        <rFont val="Calibri"/>
        <family val="2"/>
        <scheme val="minor"/>
      </rPr>
      <t>T</t>
    </r>
    <r>
      <rPr>
        <sz val="11"/>
        <color rgb="FF333333"/>
        <rFont val="Calibri"/>
        <family val="2"/>
        <scheme val="minor"/>
      </rPr>
      <t> /f </t>
    </r>
    <r>
      <rPr>
        <sz val="8"/>
        <color rgb="FF333333"/>
        <rFont val="Calibri"/>
        <family val="2"/>
        <scheme val="minor"/>
      </rPr>
      <t>max</t>
    </r>
    <r>
      <rPr>
        <sz val="11"/>
        <color rgb="FF333333"/>
        <rFont val="Calibri"/>
        <family val="2"/>
        <scheme val="minor"/>
      </rPr>
      <t> =250/350GHz).</t>
    </r>
  </si>
  <si>
    <t>A 210GHz fully integrated differential transceiver with fundamental-frequency VCO in 32nm SOI CMOS</t>
  </si>
  <si>
    <t>21/02/2013</t>
  </si>
  <si>
    <t>Zheng Wang, Pei-Yuan Chiang, Peyman Nazari, et.al</t>
  </si>
  <si>
    <t>https://ieeexplore.ieee.org/stamp/stamp.jsp?tp=&amp;arnumber=6487670</t>
  </si>
  <si>
    <t>13/02/2014</t>
  </si>
  <si>
    <r>
      <t>In TV tuner systems, the RF front-end design has been a challenging issue since it must simultaneously satisfy over 65dB of harmonic rejection (HR), and have high linearity for high-power input and low noise over wide bandwidth (48-to-870MHz). In terms of harmonic rejection, even though the state-of-the-art work reports over 60dB rejections on the 3 </t>
    </r>
    <r>
      <rPr>
        <sz val="8"/>
        <color rgb="FF333333"/>
        <rFont val="Calibri"/>
        <family val="2"/>
        <scheme val="minor"/>
      </rPr>
      <t>rd</t>
    </r>
    <r>
      <rPr>
        <sz val="11"/>
        <color rgb="FF333333"/>
        <rFont val="Calibri"/>
        <family val="2"/>
        <scheme val="minor"/>
      </rPr>
      <t> - and 5 </t>
    </r>
    <r>
      <rPr>
        <sz val="8"/>
        <color rgb="FF333333"/>
        <rFont val="Calibri"/>
        <family val="2"/>
        <scheme val="minor"/>
      </rPr>
      <t>th</t>
    </r>
    <r>
      <rPr>
        <sz val="11"/>
        <color rgb="FF333333"/>
        <rFont val="Calibri"/>
        <family val="2"/>
        <scheme val="minor"/>
      </rPr>
      <t> - order harmonics with a single mixer [1], higher-than-5 </t>
    </r>
    <r>
      <rPr>
        <sz val="8"/>
        <color rgb="FF333333"/>
        <rFont val="Calibri"/>
        <family val="2"/>
        <scheme val="minor"/>
      </rPr>
      <t>th</t>
    </r>
    <r>
      <rPr>
        <sz val="11"/>
        <color rgb="FF333333"/>
        <rFont val="Calibri"/>
        <family val="2"/>
        <scheme val="minor"/>
      </rPr>
      <t>-order harmonic rejections are still required for the low-band channels in TV tuners and thereby RF filters are indispensable at the RF front-end. However, due to the difficulties of integrating RF filters satisfying low noise and high linearity over wide bandwidth, the previous works inevitably had to use external inductors [2-4]. Although a recent work successfully integrates an RF filter satisfying all the stringent specifications by current-domain signal flow from the LNA output to the baseband stage [5], the transconductance stage at the filter input is not linear enough to drive the high-power input and thus the input signal needs to be attenuated at the RF front-end, which eventually degrades system SNR.</t>
    </r>
  </si>
  <si>
    <t>In-Young Lee, Sang-Sung Lee, Donggu Im, et.al</t>
  </si>
  <si>
    <t>https://ieeexplore.ieee.org/stamp/stamp.jsp?tp=&amp;arnumber=6757342</t>
  </si>
  <si>
    <t>RFIC</t>
  </si>
  <si>
    <t>17/06/2008</t>
  </si>
  <si>
    <t>An ultra low power LNA with 15dB gain and 4.4db NF in 90nm CMOS process for 60 GHz phase array radio</t>
  </si>
  <si>
    <t>Emanuel Cohen, Shmuel Ravid, Dan Ritter</t>
  </si>
  <si>
    <t>https://ieeexplore.ieee.org/stamp/stamp.jsp?tp=&amp;arnumber=4561386</t>
  </si>
  <si>
    <r>
      <t>This paper presents a 60 GHz LNA designed in a 90 nm CMOS process with 6 metals Cu thick metal, and Ft/Fmax of 100 GHz/150 GHz demonstrating best known noise figure, gain, power consumption and size compared to earlier 60-GHz LNAs reported. It features 15 dB of gain, a measured noise figure (NF) of 4.4 dB, while drawing 3 mA from a 1.3-V supply. The use of spiral inductors enables a reduction in transistor size, total power consumption, and die size. The LNA die area with/without pads is 0.32times0.44 mm</t>
    </r>
    <r>
      <rPr>
        <sz val="8"/>
        <color rgb="FF333333"/>
        <rFont val="Calibri"/>
        <family val="2"/>
        <scheme val="minor"/>
      </rPr>
      <t>2</t>
    </r>
    <r>
      <rPr>
        <sz val="11"/>
        <color rgb="FF333333"/>
        <rFont val="Calibri"/>
        <family val="2"/>
        <scheme val="minor"/>
      </rPr>
      <t>/0.14times0.27 mm</t>
    </r>
    <r>
      <rPr>
        <sz val="8"/>
        <color rgb="FF333333"/>
        <rFont val="Calibri"/>
        <family val="2"/>
        <scheme val="minor"/>
      </rPr>
      <t>2</t>
    </r>
    <r>
      <rPr>
        <sz val="11"/>
        <color rgb="FF333333"/>
        <rFont val="Calibri"/>
        <family val="2"/>
        <scheme val="minor"/>
      </rPr>
      <t> respectively. First pass success was achieved by proper methodology of closed ground environment for passive structures and proper layout. The paper compares different transistor core sizes and different circuit topologies showing that a common source (CS) topology with a 10times1 um transistor width gives the best performance over all other options.</t>
    </r>
  </si>
  <si>
    <r>
      <t>A post-linearization technique for the differential CMOS LNA is presented. The proposed method uses an additional cross-coupled FET pair which generates the 3</t>
    </r>
    <r>
      <rPr>
        <sz val="8"/>
        <color rgb="FF333333"/>
        <rFont val="Calibri"/>
        <family val="2"/>
        <scheme val="minor"/>
      </rPr>
      <t>rd</t>
    </r>
    <r>
      <rPr>
        <sz val="11"/>
        <color rgb="FF333333"/>
        <rFont val="Calibri"/>
        <family val="2"/>
        <scheme val="minor"/>
      </rPr>
      <t>-order inter-modulation (IM3) current to cancel out the IM3 current of the differential amplifier while minimizing the degradation of noise figure and avoiding the gain reduction. This technique is applied to enhance the linearity of the differential CMOS LNA using 0.18-mum technology. The LNA achieved +10.2-dBm IIP3 with 13.7-dB gain and 1.68-dB NF at 2 GHz consuming 11.8-mA from a 1.8-V supply.</t>
    </r>
  </si>
  <si>
    <t>Linearization of differential CMOS low noise amplifier using cross-coupled post distortion canceller</t>
  </si>
  <si>
    <t>Tae-Sung Kim, Byung-Sung Kim</t>
  </si>
  <si>
    <t>https://ieeexplore.ieee.org/stamp/stamp.jsp?tp=&amp;arnumber=4561391</t>
  </si>
  <si>
    <t>Perspective of RF design in future planar and FinFET CMOS</t>
  </si>
  <si>
    <t>Scaling of CMOS transistors beyond 45 nm requires architectural redesign of the devices. FinFETs are proposed to recover the reduced channel control. This work evaluates the perspective of RF design in planar bulk vs. FinFET SOI for (sub-)45 nm CMOS on a key RF circuit: a low-noise amplifier (LNA). The planar and FinFET devices with channel lengths down to 40 nm are compared in both wideband and narrowband designs up to 14 GHz to illustrate the RF and ESD protection performance perspective. Planar devices push the RF performance. FinFETs lag somewhat behind, but show promising RF performance.</t>
  </si>
  <si>
    <t>J. Borremans, B. Parvais, M. Dehan, et.al</t>
  </si>
  <si>
    <t>https://ieeexplore.ieee.org/stamp/stamp.jsp?tp=&amp;arnumber=4561389</t>
  </si>
  <si>
    <r>
      <t>This paper presents a 4-stage SiGe W-band amplifier for imaging applications designed in a 200 GHz f</t>
    </r>
    <r>
      <rPr>
        <sz val="8"/>
        <color rgb="FF333333"/>
        <rFont val="Calibri"/>
        <family val="2"/>
        <scheme val="minor"/>
      </rPr>
      <t>t</t>
    </r>
    <r>
      <rPr>
        <sz val="11"/>
        <color rgb="FF333333"/>
        <rFont val="Calibri"/>
        <family val="2"/>
        <scheme val="minor"/>
      </rPr>
      <t>SiGe BiCMOS process (IBM 8HP). The amplifier exhibits a gain of 19 dB at 85-89 GHz, a 3-dB bandwidth of 17 GHz, a NF of 8-10 dB over the measurement band, and consumes only 25 mW of DC power. The amplifier is very small (0.1 mm</t>
    </r>
    <r>
      <rPr>
        <sz val="8"/>
        <color rgb="FF333333"/>
        <rFont val="Calibri"/>
        <family val="2"/>
        <scheme val="minor"/>
      </rPr>
      <t>2</t>
    </r>
    <r>
      <rPr>
        <sz val="11"/>
        <color rgb="FF333333"/>
        <rFont val="Calibri"/>
        <family val="2"/>
        <scheme val="minor"/>
      </rPr>
      <t> without pads), making it ideal for 8 or 16-element imaging arrays on a single chip. To our knowledge, this is the first demonstration of a high-gain, high-bandwidth W-band amplifier using SiGe technology.</t>
    </r>
  </si>
  <si>
    <t>A W-band SiGe 1.5V LNA for imaging applications</t>
  </si>
  <si>
    <t>Jason W. May, Gabriel M. Rebeiz</t>
  </si>
  <si>
    <t>https://ieeexplore.ieee.org/stamp/stamp.jsp?tp=&amp;arnumber=4561427</t>
  </si>
  <si>
    <t>This paper presents a 1.2 V, 100 mW, 140 GHz receiver with on-die antenna in a 65 nm General Purpose (GP) CMOS process with digital back-end. The receiver has a conversion loss of 15-19 dB in the 100-140 GHz range with 102 GHz LO, and occupies a die area of only 580 mum times 700 mum including pads. The LNA achieves 8 dB gain at 140 GHz, 10 GHz bandwidth, at least -1.8 dBm of saturated output power, and maintains 3 dB gain at 125 degC. The on-chip antenna, which meets all density fill requirements of 65 nm CMOS, has -25 dB gain, and occupies 180 mum times 100 mum of die area. Additionally, design techniques which maximize the millimeter-wave performance of CMOS devices are discussed.</t>
  </si>
  <si>
    <t>A 1.2V, 140GHz receiver with on-die antenna in 65nm CMOS</t>
  </si>
  <si>
    <t>https://ieeexplore.ieee.org/stamp/stamp.jsp?tp=&amp;arnumber=4561424</t>
  </si>
  <si>
    <t>S. T. Nicolson, A. Tomkins, K. W. Tang, et.al</t>
  </si>
  <si>
    <t>A 25 GHz low noise amplifier using standard 0.18 mum digital CMOS technology is presented. Matching networks were based upon slow wave transmissions lines. Peak gain of 12.8 dB at 24 GHz and in-band minimum noise figure less than 4 dB were obtained at a power consumption of 8 mW. These record results demonstrate the usefulness of the slow wave transmission line approach. A compact model of slow wave transmission lines is briefly described as well.</t>
  </si>
  <si>
    <t>A 25 GHz 3.3 dB NF low noise amplifier based upon slow wave transmission lines and the 0.18 μm CMOS technology</t>
  </si>
  <si>
    <t>A. Sayag, S. Levin, D. Regev, et.al</t>
  </si>
  <si>
    <t>https://ieeexplore.ieee.org/stamp/stamp.jsp?tp=&amp;arnumber=4561457</t>
  </si>
  <si>
    <t>A 1.0 V, 2.5 mW, transformer noise-canceling UWB CMOS LNA</t>
  </si>
  <si>
    <r>
      <t>We present a transformer noise-canceling ultra-wideband (UWB) CMOS LNA based on a common-gate topology. A transformer, composed of an input inductor and shunt peaking inductor, partly cancels the noise originating from a common-gate transistor. The combination of the transformer with an output series inductor provides wideband input impedance matching. The LNA, implemented with 90-nm digital CMOS technology occupies 0.10 mm</t>
    </r>
    <r>
      <rPr>
        <sz val="8"/>
        <color rgb="FF333333"/>
        <rFont val="Calibri"/>
        <family val="2"/>
        <scheme val="minor"/>
      </rPr>
      <t>2</t>
    </r>
    <r>
      <rPr>
        <sz val="11"/>
        <color rgb="FF333333"/>
        <rFont val="Calibri"/>
        <family val="2"/>
        <scheme val="minor"/>
      </rPr>
      <t> and achieves S</t>
    </r>
    <r>
      <rPr>
        <sz val="8"/>
        <color rgb="FF333333"/>
        <rFont val="Calibri"/>
        <family val="2"/>
        <scheme val="minor"/>
      </rPr>
      <t>11</t>
    </r>
    <r>
      <rPr>
        <sz val="11"/>
        <color rgb="FF333333"/>
        <rFont val="Calibri"/>
        <family val="2"/>
        <scheme val="minor"/>
      </rPr>
      <t> Lt -10 dB, NF Lt 3.3 dB, and S</t>
    </r>
    <r>
      <rPr>
        <sz val="8"/>
        <color rgb="FF333333"/>
        <rFont val="Calibri"/>
        <family val="2"/>
        <scheme val="minor"/>
      </rPr>
      <t>21</t>
    </r>
    <r>
      <rPr>
        <sz val="11"/>
        <color rgb="FF333333"/>
        <rFont val="Calibri"/>
        <family val="2"/>
        <scheme val="minor"/>
      </rPr>
      <t> Gt 7.8 dB across 3.1-10.6 GHz with a power consumption of 2.5 mW from a 1.0-V supply. These results show that the proposed topology is the most suitable for low-power and low-voltage UWB CMOS LNAs.</t>
    </r>
  </si>
  <si>
    <t>https://ieeexplore.ieee.org/stamp/stamp.jsp?tp=&amp;arnumber=4561484</t>
  </si>
  <si>
    <t>Takao Kihara, Toshimasa Matsuoka, Kenji Taniguchi</t>
  </si>
  <si>
    <t>In this work, the design of a single ended low-noise amplifier (LNA) dedicated for multi-band orthogonal frequency-division multiplexing (MB-OFDM) Band Group-1 ultra-wideband (UWB) band is described. It achieves a flat gain from 2 to 5 GHz of 17 dB while drawing a current of 15.9 mA from a 1.2 V supply. The circuit has been implemented in 90 -nm CMOS technology and features a minimum noise figure (NF) of 2.5 dB over the frequency range as well as an input referred third-order intermodulation (IIP3) of -8 dBm.</t>
  </si>
  <si>
    <t>A 90-nm CMOS LNA for MB-OFDM UWB in QFN package</t>
  </si>
  <si>
    <t>King Wah Wong, M. Annamalai Arasu, Wei Khuen Chan</t>
  </si>
  <si>
    <t>https://ieeexplore.ieee.org/stamp/stamp.jsp?tp=&amp;arnumber=4561485</t>
  </si>
  <si>
    <r>
      <t>A 3.1-10.6-GHz ultra-wideband low-noise amplifier (UWB LNA) with excellent phase linearity property (group-delay-variation is only plusmn16.7 ps across the whole band) using standard 0.13 mum CMOS technology is reported. To achieve high and flat gain and small group-delay-variation at the same time, the inductive peaking technique is adopted in the output stage for bandwidth enhancement. The UWB LNA dissipates 10.68 mW power and achieves input return loss (S </t>
    </r>
    <r>
      <rPr>
        <sz val="8"/>
        <color rgb="FF333333"/>
        <rFont val="Calibri"/>
        <family val="2"/>
        <scheme val="minor"/>
      </rPr>
      <t>11</t>
    </r>
    <r>
      <rPr>
        <sz val="11"/>
        <color rgb="FF333333"/>
        <rFont val="Calibri"/>
        <family val="2"/>
        <scheme val="minor"/>
      </rPr>
      <t> ) of -17.5 ~ -33.6 dB, output return loss (S</t>
    </r>
    <r>
      <rPr>
        <sz val="8"/>
        <color rgb="FF333333"/>
        <rFont val="Calibri"/>
        <family val="2"/>
        <scheme val="minor"/>
      </rPr>
      <t>22</t>
    </r>
    <r>
      <rPr>
        <sz val="11"/>
        <color rgb="FF333333"/>
        <rFont val="Calibri"/>
        <family val="2"/>
        <scheme val="minor"/>
      </rPr>
      <t> ) of -14.4 ~ -16.3 dB, flat forward gain (S </t>
    </r>
    <r>
      <rPr>
        <sz val="8"/>
        <color rgb="FF333333"/>
        <rFont val="Calibri"/>
        <family val="2"/>
        <scheme val="minor"/>
      </rPr>
      <t>21</t>
    </r>
    <r>
      <rPr>
        <sz val="11"/>
        <color rgb="FF333333"/>
        <rFont val="Calibri"/>
        <family val="2"/>
        <scheme val="minor"/>
      </rPr>
      <t> ) of 7.92 plusmn 0.23 dB, and reverse isolation (S </t>
    </r>
    <r>
      <rPr>
        <sz val="8"/>
        <color rgb="FF333333"/>
        <rFont val="Calibri"/>
        <family val="2"/>
        <scheme val="minor"/>
      </rPr>
      <t>12</t>
    </r>
    <r>
      <rPr>
        <sz val="11"/>
        <color rgb="FF333333"/>
        <rFont val="Calibri"/>
        <family val="2"/>
        <scheme val="minor"/>
      </rPr>
      <t> ) of -25.8 ~ -41.9 dB over the 3.1-10.6 GHz band of interest. State-of-the-art noise figure (NF) of 2.5 dB is achieved at 10.5 GHz. The measured 1-dB compression point (P </t>
    </r>
    <r>
      <rPr>
        <sz val="8"/>
        <color rgb="FF333333"/>
        <rFont val="Calibri"/>
        <family val="2"/>
        <scheme val="minor"/>
      </rPr>
      <t>1dB</t>
    </r>
    <r>
      <rPr>
        <sz val="11"/>
        <color rgb="FF333333"/>
        <rFont val="Calibri"/>
        <family val="2"/>
        <scheme val="minor"/>
      </rPr>
      <t> ) and input third-order inter-modulation point (IIP3) were -14 dBm and -4 dBm, respectively, at 6 GHz.</t>
    </r>
  </si>
  <si>
    <t>A 2.5-dB NF 3.1–10.6-GHz CMOS UWB LNA with small group-delay-variation</t>
  </si>
  <si>
    <t>https://ieeexplore.ieee.org/stamp/stamp.jsp?tp=&amp;arnumber=4561486</t>
  </si>
  <si>
    <t>Jen-How Lee, Chi-Chen Chen, Hong-Yu Yang, Yo-Sheng Lin</t>
  </si>
  <si>
    <t>A RF CMOS amplifier with optimized gain, noise, linearity and return losses for UWB applications</t>
  </si>
  <si>
    <r>
      <t>Trade-off between noise figure (NF) and input return loss (RL or |S</t>
    </r>
    <r>
      <rPr>
        <sz val="8"/>
        <color rgb="FF333333"/>
        <rFont val="Calibri"/>
        <family val="2"/>
        <scheme val="minor"/>
      </rPr>
      <t>11</t>
    </r>
    <r>
      <rPr>
        <sz val="11"/>
        <color rgb="FF333333"/>
        <rFont val="Calibri"/>
        <family val="2"/>
        <scheme val="minor"/>
      </rPr>
      <t>|) imposes a fundamental limitation on the design of low noise amplifiers (LNA) for ultra-wideband (UWB) applications. A graph-based approach using Smith Chart to achieve optimum values for both NF and input RL over the desired LNA bandwidth is presented. The proposed method and device optimization technique are systematically incorporated to enhance the overall LNA performance in terms of gain, noise, linearity, and power consumption. An UWB LNA prototype is implemented in a 0.13 mum CMOS process to demonstrate the use of this methodology. It shows a gain of 11.3 dB, a NF of 3.9-4.6 dB, and an IIP3 of 3.2-5 dBm over a -3 dB bandwidth of 2.2-9 GHz while consuming 30 mW from a 1.2 V DC supply.</t>
    </r>
  </si>
  <si>
    <t>Giang D. Nguyen, Kurt Cimino, Milton Feng</t>
  </si>
  <si>
    <t>https://ieeexplore.ieee.org/stamp/stamp.jsp?tp=&amp;arnumber=4561487</t>
  </si>
  <si>
    <t>Design and analysis of a high-performance cascode bipolar low noise amplifier with shunt feedback capacitor</t>
  </si>
  <si>
    <t>https://ieeexplore.ieee.org/stamp/stamp.jsp?tp=&amp;arnumber=4561512</t>
  </si>
  <si>
    <t>Byoungjoong Kang, Sung-Gi Yang, Jinhyuck Yu, et.al</t>
  </si>
  <si>
    <r>
      <t>In this paper, a cascode bipolar low noise amplifier (LNA) employing a shunt feedback capacitor is presented, for which the linearity and the noise figure (NF) can be optimized by reducing the transistor size and degeneration inductance. We also show that the second-order interaction, which affects the third-order nonlinearity, becomes insensitive to low-frequency input termination as the DC current increases. Finally, the method of removing the low-frequency trap is presented. The fabricated LNA in 0.35-mum SiGe BiCMOS process showed NF of 0.9 dB with 16-dB power gain and IIP</t>
    </r>
    <r>
      <rPr>
        <sz val="8"/>
        <color rgb="FF333333"/>
        <rFont val="Calibri"/>
        <family val="2"/>
        <scheme val="minor"/>
      </rPr>
      <t>3</t>
    </r>
    <r>
      <rPr>
        <sz val="11"/>
        <color rgb="FF333333"/>
        <rFont val="Calibri"/>
        <family val="2"/>
        <scheme val="minor"/>
      </rPr>
      <t> of +11 dBm with current consumption of 10 mA from 2.8-V power supply at 900 MHz. The demonstrated LNA satisfies stringent sensitivity and linearity requirement of code-division multiple-access (CDMA) applications quite well.</t>
    </r>
  </si>
  <si>
    <t>09/06/2009</t>
  </si>
  <si>
    <t>A 3-to-5 GHz ultra-wideband (UWB) low-noise amplifier (LNA) with a low-power balanced active balun aiming at IEEE 802.15.4a (Band Group 1) compliance is presented. The LNA employs an NMOS feedback for wideband input matching, and current reuse scheme for reducing power consumption. The active balun uses a differential amplifier with a cascoded cross-coupled pair to provide 6 dB gain as well as to mitigate the gain and phase imbalances. The proposed fully integrated LNA and balun achieve noise figure of 3.6 dB, S21 of 30 dB, and IIP3 of -24 dBm (-12 dBm for LNA core) from 3 GHz to 5 GHz. The maximum gain and phase mismatches of the balun from 0.5 GHz to 10 GHz are 0.4 dB and 1.8deg, respectively. It consumes 19 mW from 1.2 V supply; 8 mW for the LNA, 2.5 mW for the active balun, and 8.5 mW for the buffer.</t>
  </si>
  <si>
    <t>A 3-to-5 GHz UWB LNA with a low-power balanced active balun</t>
  </si>
  <si>
    <t>Sanghoon Joo, Tae-Young Choi, Jae-Young Kim, Byunghoo Jung</t>
  </si>
  <si>
    <t>https://ieeexplore.ieee.org/stamp/stamp.jsp?tp=&amp;arnumber=5135545</t>
  </si>
  <si>
    <t>A DC-to-22 GHz 8.4mW compact dual-feedback wideband LNA in 90 nm digital CMOS</t>
  </si>
  <si>
    <r>
      <t>A dual-feedback topology to extend bandwidth of resistive feedback LNAs is proposed in this paper. Active source follower shunt-shunt feedback using a shunt peaking inductor to extend the 3-dB and input matching bandwidth is employed, combined with series-shunt feedback for extended impedance matching using a source inductor. A prototype in 90 nm digital CMOS achieves a high 3-dB bandwidth of 29 GHz while preserving adequate input matching up to 22 GHz. The miniature area (0.017 mm</t>
    </r>
    <r>
      <rPr>
        <sz val="8"/>
        <color rgb="FF333333"/>
        <rFont val="Calibri"/>
        <family val="2"/>
        <scheme val="minor"/>
      </rPr>
      <t>2</t>
    </r>
    <r>
      <rPr>
        <sz val="11"/>
        <color rgb="FF333333"/>
        <rFont val="Calibri"/>
        <family val="2"/>
        <scheme val="minor"/>
      </rPr>
      <t>) and low power consumption (8.4 mW) make the solution very attractive for low-cost very wideband LNA implementation.</t>
    </r>
  </si>
  <si>
    <t>M. Okushima, J. Borremans, D. Linten, G. Groeseneken</t>
  </si>
  <si>
    <t>https://ieeexplore.ieee.org/stamp/stamp.jsp?tp=&amp;arnumber=5135543</t>
  </si>
  <si>
    <t>A 1.3 V, 65nm CMOS, coilless combined feedback LNA with integrated single coil notch filter</t>
  </si>
  <si>
    <r>
      <t>An LNA with integrated notch filter is demonstrated. It consists of a coilless two-stage LNA with capacitive feedback and an integrated Q-enhanced notch filter. Thus, this circuit is capable for use in FDD systems like UMTS or WCDMA without additional off-chip interstage filter, especially for highly integrated multi-band multi-standard transceivers as only one area consuming coil is used. At 100 Omega differential source impedance the LNA delivers 25.1 dB gain at a noise figure of 2.3 dB without filtering. For a desired RX-TX selectivity of 9 dB, a maximum gain of 21.8 dB with NF = 4.0 dB at 1730 MHz could be achieved. An inband IIP3 of -10.63 dBm, a half duplex IIP3 of -1.52 dBm and a double duplex IIP3 of +9.14 dBm were achieved. The RX gain compression due to a TX interferer increased from -23.5 dBm (w/o filter) to -20.5 dBm. The input reflection factor does not exceed S</t>
    </r>
    <r>
      <rPr>
        <sz val="8"/>
        <color rgb="FF333333"/>
        <rFont val="Calibri"/>
        <family val="2"/>
        <scheme val="minor"/>
      </rPr>
      <t>11</t>
    </r>
    <r>
      <rPr>
        <sz val="11"/>
        <color rgb="FF333333"/>
        <rFont val="Calibri"/>
        <family val="2"/>
        <scheme val="minor"/>
      </rPr>
      <t> = -10 dB while the LNA draws 16.6 mA and the notch filter additionally max. 4.1 mA from an 1.3 V supply voltage. The circuit was implemented on a 65 nm CMOS process.</t>
    </r>
  </si>
  <si>
    <t xml:space="preserve">Dirk Bormann, Tobias D. Werth, Christoph Schmits, Stefan Heinen </t>
  </si>
  <si>
    <t>https://ieeexplore.ieee.org/stamp/stamp.jsp?tp=&amp;arnumber=5135547</t>
  </si>
  <si>
    <r>
      <t>This paper presents a 24-GHz single-in differential-out (SIDO) CMOS low-noise amplifier (LNA) for wireless communication applications. The SIDO LNA utilizes a trifilar transformer inserted between the first and the second stages for the single-to-differential signal conversion. The LNA, fabricated in a 0.13 mum RF CMOS technology, exhibits a differential gain of 14.7 dB, a 3-dB bandwidth of 3.5 GHz (from 22.9 to 26.4 GHz), a noise figure of 4.3 dB, and an input 1-dB compression point (P</t>
    </r>
    <r>
      <rPr>
        <sz val="8"/>
        <color rgb="FF333333"/>
        <rFont val="Calibri"/>
        <family val="2"/>
        <scheme val="minor"/>
      </rPr>
      <t>1dB</t>
    </r>
    <r>
      <rPr>
        <sz val="11"/>
        <color rgb="FF333333"/>
        <rFont val="Calibri"/>
        <family val="2"/>
        <scheme val="minor"/>
      </rPr>
      <t>) of -13 dBm at 24 GHz. The gain and phase difference are 0.6 dB and 0.47deg, respectively, which demonstrates well balanced characteristics.</t>
    </r>
  </si>
  <si>
    <t>A 24-GHz transformer-based single-in differential-out CMOS low-noise amplifier</t>
  </si>
  <si>
    <t>https://ieeexplore.ieee.org/stamp/stamp.jsp?tp=&amp;arnumber=5135544</t>
  </si>
  <si>
    <t>Jin-Fu Yeh, Chu-Yun Yang, Hsin-Chih Kuo, Huey-Ru Chuang</t>
  </si>
  <si>
    <t>A 50-dB image-rejection SiGe-HBT based low noise amplifier in 24-GHz band</t>
  </si>
  <si>
    <t>An image-rejection low-noise amplifier (LNA) based on 0.18-mum SiGe BiCMOS technology was developed in order to create a 24 GHz-band RF receiver front-end. Its high image-rejection ratio (IRR) in the quasi-millimeter-wave frequency region is due to the use of a notch feedback circuit. The LNA has a 14-dB gain at an operating frequency of 27.2 GHz and an IRR greater than 50 dB IRR at an image frequency of 21.6 GHz. While its IIP3 is -14 dBm, its power consumption with a 1.2-V power supply is also low, 7.9 mW.</t>
  </si>
  <si>
    <t>https://ieeexplore.ieee.org/stamp/stamp.jsp?tp=&amp;arnumber=5135546</t>
  </si>
  <si>
    <t>Toru Masuda, Nobuhiro Shiramizu, Takahiro Nakamura, Katsuyoshi Washio</t>
  </si>
  <si>
    <t>A CMOS resistive feedback single to differential low noise amplifier (S-to-D LNA) with single-ended multiple tuner outputs (MTOs) is implemented for a digital TV (DTV) tuner using a 0.18-m CMOS process. In order to achieve wideband output balancing with high gain, low noise figure (NF) and high linearity, the S-to-D LNA exploiting the resistive feedback with enhanced loop gain is proposed. The proposed S-to-D LNA also has single-ended MTOs which are made by combining the differential output of the S-to-D LNA without second-order distortion for supporting multiple tuner and multiple stream applications. This leads the excellent IIP2 at both differential output and single-ended MTOs of the proposed S-to-D LNA. A voltage gain of 19.5 dB, an average NF of 2.4 dB, an IIP3 of -2 dBm and an IIP2 of 26 dBm are obtained at differential output. At single-ended MTOs, a voltage gain of 12.5 dB, an average NF of 2.9 dB, an IIP3 of -1.5 dBm and an IIP2 of 25 dBm are obtained.</t>
  </si>
  <si>
    <t>A CMOS resistive feedback single to differential low noise amplifier with multiple-tuner-outputs for a digital TV tuner</t>
  </si>
  <si>
    <t>Donggu Im, Ilku Nam, Seong-Sik Song,</t>
  </si>
  <si>
    <t>https://ieeexplore.ieee.org/stamp/stamp.jsp?tp=&amp;arnumber=5135602</t>
  </si>
  <si>
    <t>A linearity-enhanced wideband low-noise amplifier</t>
  </si>
  <si>
    <t>25/05/2010</t>
  </si>
  <si>
    <r>
      <t>Techniques are proposed to enhance linearity in a low-voltage wideband LNA for use in a multi-standard wideband receiver. To achieve high linearity over wide frequency range, two previous IMD </t>
    </r>
    <r>
      <rPr>
        <sz val="8"/>
        <color rgb="FF333333"/>
        <rFont val="Calibri"/>
        <family val="2"/>
        <scheme val="minor"/>
      </rPr>
      <t>3</t>
    </r>
    <r>
      <rPr>
        <sz val="11"/>
        <color rgb="FF333333"/>
        <rFont val="Calibri"/>
        <family val="2"/>
        <scheme val="minor"/>
      </rPr>
      <t> cancellation techniques are merged and modified to obtain IIP3 peaks at different frequencies, while minimizing component count. A self-biasing current reuse technique is developed to enhance low-voltage operation. Two LNAs are designed in 0.13 μm CMOS to demonstrate these techniques: the (Chebyshev, transformer) LNAs achieved (+10.6, +12.0) dBm IIP3 over (2.3-6.0, 2.0-5.3) GHz, (12.7, 12.4) dB gain, (4.8, 4.9) dB noise figure, while consuming 6.9mA from 1.2V.</t>
    </r>
  </si>
  <si>
    <t xml:space="preserve">Kihwa Choi, Tamal Mukherjee, Jeyanandh Paramesh </t>
  </si>
  <si>
    <t>https://ieeexplore.ieee.org/stamp/stamp.jsp?tp=&amp;arnumber=5477379</t>
  </si>
  <si>
    <t>A 17 GHz transformer-neutralized current re-use LNA and its application to a low-power RF front-end</t>
  </si>
  <si>
    <t>A 17 GHz current re-use low noise amplifier (LNA) is designed in 0.13 μm CMOS for low power applications such as wireless sensor networks. The LNA also employs transformer based feedback to neutralize the gate-drain capacitance of a MOSFET. The LNA achieves 15.4 dB gain into a 50 Ω load along with 1.9 GHz bandwidth. It features 4.5 dB NF and -12 dBm IIP3 while consuming 7.8 mW of power. A 17 GHz receiver frontend using a similar two-stage LNA and a mixer is also demonstrated which achieves 25 dB of voltage conversion gain at 70 MHz IF, 7 dB NF, -18 dBm IIP3 and consumes 8 mW from a 1.2 V supply.</t>
  </si>
  <si>
    <t>https://ieeexplore.ieee.org/stamp/stamp.jsp?tp=&amp;arnumber=5477286</t>
  </si>
  <si>
    <t>Sandipan Kundu, Jeyanandh Paramesh</t>
  </si>
  <si>
    <t>94 GHz silicon co-integrated LNA and Antenna in a mm-wave dedicated BiCMOS technology</t>
  </si>
  <si>
    <r>
      <t>A co-integrated Low Noise Amplifier (LNA) with a dipole antenna is designed considering a millimeter-wave dedicated BiCMOS technology. The targeted application is a 94 GHz passive imaging for security applications. The LNA is based on a high-speed SiGe:C 130 nm HBT. The interest of the co-integration on a common silicon substrate is demonstrated through the decrease of insertion losses between the antenna and the amplifier. The capability of the BiCMOS9MW technology is illustrated to achieve this co-integration reaching a total gain of 3.0 dB (G</t>
    </r>
    <r>
      <rPr>
        <sz val="8"/>
        <color rgb="FF333333"/>
        <rFont val="Calibri"/>
        <family val="2"/>
        <scheme val="minor"/>
      </rPr>
      <t>antenna</t>
    </r>
    <r>
      <rPr>
        <sz val="11"/>
        <color rgb="FF333333"/>
        <rFont val="Calibri"/>
        <family val="2"/>
        <scheme val="minor"/>
      </rPr>
      <t> + G</t>
    </r>
    <r>
      <rPr>
        <sz val="8"/>
        <color rgb="FF333333"/>
        <rFont val="Calibri"/>
        <family val="2"/>
        <scheme val="minor"/>
      </rPr>
      <t>LNA</t>
    </r>
    <r>
      <rPr>
        <sz val="11"/>
        <color rgb="FF333333"/>
        <rFont val="Calibri"/>
        <family val="2"/>
        <scheme val="minor"/>
      </rPr>
      <t>) for a power consumption of 11 mW, in a single-stage LNA configuration. A two-stage configuration achieves a total gain of 8.5 dB with a power consumption of 21 mW.</t>
    </r>
  </si>
  <si>
    <t>R. Pilard, D. Gloria, F. Gianesello, et.al</t>
  </si>
  <si>
    <t>https://ieeexplore.ieee.org/stamp/stamp.jsp?tp=&amp;arnumber=5477390</t>
  </si>
  <si>
    <r>
      <t>A fully-integrated silicon-based 94-GHz direct-detection imaging receiver with on-chip Dicke switch and baseband circuitry is demonstrated. Fabricated in a 0.18-μm SiGe BiCMOS technology (f </t>
    </r>
    <r>
      <rPr>
        <sz val="8"/>
        <color rgb="FF333333"/>
        <rFont val="Calibri"/>
        <family val="2"/>
        <scheme val="minor"/>
      </rPr>
      <t>T</t>
    </r>
    <r>
      <rPr>
        <sz val="11"/>
        <color rgb="FF333333"/>
        <rFont val="Calibri"/>
        <family val="2"/>
        <scheme val="minor"/>
      </rPr>
      <t> /f </t>
    </r>
    <r>
      <rPr>
        <sz val="8"/>
        <color rgb="FF333333"/>
        <rFont val="Calibri"/>
        <family val="2"/>
        <scheme val="minor"/>
      </rPr>
      <t>MAX</t>
    </r>
    <r>
      <rPr>
        <sz val="11"/>
        <color rgb="FF333333"/>
        <rFont val="Calibri"/>
        <family val="2"/>
        <scheme val="minor"/>
      </rPr>
      <t> = 200 GHz), the receiver chip achieves a peak imager responsivity of 43 MV/W with a 3-dB bandwidth of 26 GHz. A balanced LNA topology with an embedded Dicke switch provides 30-dB gain and enables a temperature resolution of 0.3-0.4 K. The imager chip consumes 200 mW from a 1.8-V supply.</t>
    </r>
  </si>
  <si>
    <t>A 94-GHz passive imaging receiver using a balanced LNA with embedded Dicke switch</t>
  </si>
  <si>
    <t>Leland Gilreath, Vipul Jain, Hsin-Cheng Yao , et.al</t>
  </si>
  <si>
    <t>https://ieeexplore.ieee.org/stamp/stamp.jsp?tp=&amp;arnumber=5477289</t>
  </si>
  <si>
    <t>A sub-1dB NF fully integrated low noise amplifier in a 0.25μm SiGe:C BiCMOS technology targeting GSM base-station applications will be discussed. The two-stage LNA is housed in a HVSON10 package and mounted on a PCB. The LNA measures a NF of 0.75dB in the 900MHz band and 0.9dB in the 1800MHz band. The LNA is matched to 50Ω at the RF I/O pins of the IC and has integrated ESD protection on all IC pins. The LNA achieves an OIP3 of +36dBm, a 1-dB OCP of +19dBm while dissipating 190mW. The LNA performance is in line with the compound technology LNA counterparts.</t>
  </si>
  <si>
    <t>900MHz/1800MHz GSM base station LNA with sub-1dB noise figure and +36dBm OIP3</t>
  </si>
  <si>
    <t>https://ieeexplore.ieee.org/stamp/stamp.jsp?tp=&amp;arnumber=5477321&amp;tag=1</t>
  </si>
  <si>
    <t>Domine Leenaerts, Jos Bergervoet, Jan-Willem Lobeek, Marek Schmidt-Szalowski</t>
  </si>
  <si>
    <t>**(This LNA has two bands of operation not included here)</t>
  </si>
  <si>
    <r>
      <t>A low-power wideband distributed low-noise amplifier (DLNA) in 90 nm CMOS is presented. Various techniques have been combined in the design to increase the distributed amplifier's power efficiency. These techniques range from moderate inversion biasing to transmission line tapering. The measured gain of the 12.5 mW DLNA is larger than 15 dB from DC to 21 GHz. The average noise figure in the pass-band is 5.4 dB, the IIP3 at 5 GHz is -6.6 dBm and the total die area is 0.41 mm</t>
    </r>
    <r>
      <rPr>
        <sz val="8"/>
        <color rgb="FF333333"/>
        <rFont val="Calibri"/>
        <family val="2"/>
        <scheme val="minor"/>
      </rPr>
      <t>2</t>
    </r>
    <r>
      <rPr>
        <sz val="11"/>
        <color rgb="FF333333"/>
        <rFont val="Calibri"/>
        <family val="2"/>
        <scheme val="minor"/>
      </rPr>
      <t>.</t>
    </r>
  </si>
  <si>
    <t>Power efficient distributed low-noise amplifier in 90 nm CMOS</t>
  </si>
  <si>
    <t>Brecht Machiels, Patrick Reynaert, Michiel Steyaert</t>
  </si>
  <si>
    <t>https://ieeexplore.ieee.org/stamp/stamp.jsp?tp=&amp;arnumber=5477322</t>
  </si>
  <si>
    <t>A 2–1100 MHz wideband low noise amplifier with 1.43 dB minimum noise figure</t>
  </si>
  <si>
    <r>
      <t>A new wideband low noise amplifier (LNA) is proposed in this paper. The LNA utilizes a composite NMOS/PMOS cross-coupled transistor pair to increase the amplification while reducing the noise figure. The introduced approach provides partial cancellation of noise generated by the input transistors, hence, lowering the overall noise figure. An implemented prototype using IBM 90 nm CMOS technology shows a measured conversion gain of 20 dB across 2-1100 MHz frequency range, an IIP3 of -1.5 dBm at 100 MHz, and minimum and maximum noise figure of 1.43 dB and 1.9 dB from 100 MHz to 1.1 GHz. The LNA consumes 18 mW from 1.8 V supply and occupies an area of 0.06 mm </t>
    </r>
    <r>
      <rPr>
        <sz val="8"/>
        <color rgb="FF333333"/>
        <rFont val="Calibri"/>
        <family val="2"/>
        <scheme val="minor"/>
      </rPr>
      <t>2</t>
    </r>
    <r>
      <rPr>
        <sz val="11"/>
        <color rgb="FF333333"/>
        <rFont val="Calibri"/>
        <family val="2"/>
        <scheme val="minor"/>
      </rPr>
      <t> .</t>
    </r>
  </si>
  <si>
    <t>https://ieeexplore.ieee.org/stamp/stamp.jsp?tp=&amp;arnumber=5477274</t>
  </si>
  <si>
    <t>Wideband trans-impedance filter low noise amplifier</t>
  </si>
  <si>
    <t>This paper focuses on the design of wideband low-noise amplifier, which includes transferred-impedance structures to improve interference tolerance. The LNA is implemented as part of simple RF receiver to demonstrate the feasibility of the transferred-impedance circuits in wideband receivers. The LNA itself achieves a gain of 24 and 20 dB, noise figure of 3.4 and 4.9 dB with ICP of -21 and -15 dBm for the interference blocking structure turned off and on, respectively. Added selectivity of 6 dB is achieved by using the structure described in this paper.</t>
  </si>
  <si>
    <t>https://ieeexplore.ieee.org/stamp/stamp.jsp?tp=&amp;arnumber=5477375</t>
  </si>
  <si>
    <t>Mikko Kaltiokallio, Aarno Pärssinen, Jussi Ryynänen</t>
  </si>
  <si>
    <t>07/06/2011</t>
  </si>
  <si>
    <t>This work reports on the implementation of a 2.4 GHz ultra low power (ULP) low noise amplifier (LNA) in a standard CMOS 0.13 μm process. The proposed design methodology consists in optimizing the tradeoff between RF performances and current consumption of the MOS transistor. The supply of the circuit controlled by a 3bits DAC varies from 0.4 to 0.6 V. This digital tuning allows maximizing the figure of merit of the LNA. The approach yields the operating point within the sweet spot region of the amplifying transistors. Experimental results of the circuit indicate a power dissipation of 60 μW@0.4V, a noise figure of 5.3 dB, and a forward gain of 13.1 dB. The IIP3 and ICP1 are -12 dBm and -19 dBm, respectively. This works aims the development of a complete RF front end for micro-watt radio.</t>
  </si>
  <si>
    <t>A 60µW LNA for 2.4 GHz wireless sensors network applications</t>
  </si>
  <si>
    <t>T. Taris, JB. Begueret, Y. Deval</t>
  </si>
  <si>
    <t>https://ieeexplore.ieee.org/stamp/stamp.jsp?tp=&amp;arnumber=5940633</t>
  </si>
  <si>
    <t>A low noise amplifier simultaneously achieving input impedance and minimum noise matching</t>
  </si>
  <si>
    <r>
      <t>A CMOS complementary capacitive loaded LNA with inductively source degeneration is implemented for 900MHz application using a 0.18-μm CMOS process. In order to achieve simultaneous input impedance and minimum noise matching, the capacitive loading technique is proposed. Owing to the capacitive loading technique, the noise figure (NF) of the proposed LNA can be perfectly close to NF </t>
    </r>
    <r>
      <rPr>
        <sz val="8"/>
        <color rgb="FF333333"/>
        <rFont val="Calibri"/>
        <family val="2"/>
        <scheme val="minor"/>
      </rPr>
      <t>min</t>
    </r>
    <r>
      <rPr>
        <sz val="11"/>
        <color rgb="FF333333"/>
        <rFont val="Calibri"/>
        <family val="2"/>
        <scheme val="minor"/>
      </rPr>
      <t> while maintaining the source impedance matching by reducing the source degeneration inductor and gate inductor contrast to conventional cascode LNA with inductively source degeneration. The measurements demonstrate that the LNA has a power gain of 12 dB, a NF of 1 dB, an IIP3 of +7.7 dBm, and an input P1-dB of -5 dBm at 900 MHz while drawing 9 mA from a 1.8 V supply voltage.</t>
    </r>
  </si>
  <si>
    <t>https://ieeexplore.ieee.org/stamp/stamp.jsp?tp=&amp;arnumber=5940700</t>
  </si>
  <si>
    <t>1.9 ∼ 2.6GHz tuning range variable gain low-noise amplifier with digital assisted automatic tuning loop</t>
  </si>
  <si>
    <t>A novel wide tuning range variable gain differential low-noise amplifier (LNA) with digital assisted automatic tuning loop for multi-mode receiver is proposed in this paper. Common gate LNA with cross-coupled capacitor (CCC) and positive feedback is applied for tuning flexibility and high gain, low noise performance. Digital assisted automatic tuning mechanism reuses the output load inductor and capacitor tank to configure an auxiliary oscillator while tuning, and re-configures it back to narrowband LNA, without extra chip area and power consumption. A testchip is fabricated in 0.13μm CMOS. Measurement results show an LNA performance of 8~26dB variable voltage gain, 2dB NF, -5.5dBm IIP3 and S11&lt;;-10dB. The digital assisted automatic frequency tuning range covers 1.9-2.6GHz with 1% tuning error. The circuit consumes 8mA with 1.2V power supply and the core layout size is 0.35mm×0.55mm.</t>
  </si>
  <si>
    <t>https://ieeexplore.ieee.org/stamp/stamp.jsp?tp=&amp;arnumber=5940666</t>
  </si>
  <si>
    <t>Xiao Wang, Chuansheng Dong, Shengguo Cao, et.al</t>
  </si>
  <si>
    <t>This paper presents design guidelines for ultra-low power Low Noise Amplifier (LNA) design by comparing input matching, gain, and noise figure (NF) characteristics of common-source (CS) and common-gate (CG) topologies. A current-reused ultra-low power 2.2 GHz CG LNA is proposed and implemented based on 0.18 um CMOS technology. Measurement results show 13.9 dB power gain, 5.14 dB NF, and -9.3 dBm IIP3, respectively, while dissipating 140 uA from a 1.5 V supply, which shows best figure of merit (FOM) among all published ultra-low power LNAs.</t>
  </si>
  <si>
    <t>A 1.5V, 140µA CMOS ultra-low power common-gate LNA</t>
  </si>
  <si>
    <t>C. J. Jeong, W. Qu, Y. Sun, et.al</t>
  </si>
  <si>
    <t>https://ieeexplore.ieee.org/stamp/stamp.jsp?tp=&amp;arnumber=5940634</t>
  </si>
  <si>
    <t>This paper presents an inductorless low power (LP) low noise amplifier (LNA) based on a Common Gate (CG) topology. The circuit combines gain boosting techniques to enable high gain LP LNA. The circuit is integrated in a 130nm CMOS technology and shows 20dB gain with 4dB Noise Figure and -12dBm IIP3. The power consumption is 1.32mW from a 1.2V supply.</t>
  </si>
  <si>
    <t>A 1.3mW 20dB gain low power inductorless LNA with 4dB Noise Figure for 2.45GHz ISM band</t>
  </si>
  <si>
    <t>https://ieeexplore.ieee.org/stamp/stamp.jsp?tp=&amp;arnumber=5940636&amp;tag=1</t>
  </si>
  <si>
    <r>
      <t>This work designs and implements a wideband common-gate (CG) low-noise amplifier (LNA) with dual-feedback using 0.18 μm CMOS technology. The design is based on a mechanism of dual-feedback, which is composed of a transformer and a g </t>
    </r>
    <r>
      <rPr>
        <sz val="8"/>
        <color rgb="FF333333"/>
        <rFont val="Calibri"/>
        <family val="2"/>
        <scheme val="minor"/>
      </rPr>
      <t>m</t>
    </r>
    <r>
      <rPr>
        <sz val="11"/>
        <color rgb="FF333333"/>
        <rFont val="Calibri"/>
        <family val="2"/>
        <scheme val="minor"/>
      </rPr>
      <t> -boosting feedback, to overcome the trade-off between noise and input matching in common-gate topology without consuming additional dc power. Simultaneously, the noise figure and power gain are improved. The implemented wideband CG LNA achieves an S </t>
    </r>
    <r>
      <rPr>
        <sz val="8"/>
        <color rgb="FF333333"/>
        <rFont val="Calibri"/>
        <family val="2"/>
        <scheme val="minor"/>
      </rPr>
      <t>11</t>
    </r>
    <r>
      <rPr>
        <sz val="11"/>
        <color rgb="FF333333"/>
        <rFont val="Calibri"/>
        <family val="2"/>
        <scheme val="minor"/>
      </rPr>
      <t> of below -10 dB, a NF of 1.9 - 2.65 dB, a power gain of 13.5 - 16.5 dB, and an IIP </t>
    </r>
    <r>
      <rPr>
        <sz val="8"/>
        <color rgb="FF333333"/>
        <rFont val="Calibri"/>
        <family val="2"/>
        <scheme val="minor"/>
      </rPr>
      <t>3</t>
    </r>
    <r>
      <rPr>
        <sz val="11"/>
        <color rgb="FF333333"/>
        <rFont val="Calibri"/>
        <family val="2"/>
        <scheme val="minor"/>
      </rPr>
      <t> of -2 - 3 dBm, with a 3 dB gain bandwidth of 1 - 8 GHz; the chip consumes 10.8 mW.</t>
    </r>
  </si>
  <si>
    <t>Wideband common-gate low-noise amplifier with dual-feedback for simultaneous input and noise matching</t>
  </si>
  <si>
    <t>Rong-Fu Ye, Tzyy-Sheng Horng, and Jian-Ming Wu</t>
  </si>
  <si>
    <t>https://ieeexplore.ieee.org/stamp/stamp.jsp?tp=&amp;arnumber=5940667</t>
  </si>
  <si>
    <t>60GHz high-gain low-noise amplifiers with a common-gate inductive feedback in 65nm CMOS</t>
  </si>
  <si>
    <t>In this paper, a novel design technique of common-gate inductive feedback is presented for millimeter-wave low-noise amplifiers (LNAs). For this technique, by adopting a gate inductor at the common-gate transistor of the cascode stage, the gain of the LNA can be enhanced even under a wideband operation. Using a 65nm CMOS process, transmission-line-based and spiral-inductor-based LNAs are fabricated for demonstration. With a dc power consumption of 33.6 mW from a 1.2-V supply voltage, the transmission-line-based LNA exhibits a gain of 20.6 dB and a noise figure of 5.4 dB at 60 GHz while the 3dB bandwidth is 14.1 GHz. As for the spiral-inductor-based LNA, consuming a dc power of 28.8 mW from a 1.2-V supply voltage, the circuit shows a gain of 18.0 dB and a noise figure of 4.5 dB at 60 GHz while the 3dB bandwidth is 12.2 GHz.</t>
  </si>
  <si>
    <t>Hsieh-Hung Hsieh, Po-Yi Wu, Chewn-Pu Jou, et.al</t>
  </si>
  <si>
    <t>19/06/2012</t>
  </si>
  <si>
    <t>A 1.2–6.6GHz LNA using transformer feedback for wideband input matching and noise cancellation in 0.13µm CMOS</t>
  </si>
  <si>
    <r>
      <t>A novel transformer feedback featuring wideband input matching and noise cancellation is proposed and demonstrated in a wideband differential LNA for software-defined-radio (SDR) applications. Implemented in 0.13μm CMOS with an area of 0.32mm </t>
    </r>
    <r>
      <rPr>
        <sz val="8"/>
        <color rgb="FF333333"/>
        <rFont val="Calibri"/>
        <family val="2"/>
        <scheme val="minor"/>
      </rPr>
      <t>2</t>
    </r>
    <r>
      <rPr>
        <sz val="11"/>
        <color rgb="FF333333"/>
        <rFont val="Calibri"/>
        <family val="2"/>
        <scheme val="minor"/>
      </rPr>
      <t> , the LNA prototype measures a wideband input matching S11 of less than -10dB from 1.2GHz to 6.6GHz and minimum NF of 1.8dB while consuming 11mA at 1.2V supply.</t>
    </r>
  </si>
  <si>
    <t>Hiu Fai Leung, Howard C. Luong</t>
  </si>
  <si>
    <t>A CMOS highly linear low-noise amplifier for Digital TV applications</t>
  </si>
  <si>
    <r>
      <t>This paper presents a highly linear low-noise amplifier (LNA) for Digital TV applications. By including a second-order nonlinear cancelling transistor to the noise cancelling circuit, the proposed LNA achieves high IIP </t>
    </r>
    <r>
      <rPr>
        <sz val="8"/>
        <color rgb="FF333333"/>
        <rFont val="Calibri"/>
        <family val="2"/>
        <scheme val="minor"/>
      </rPr>
      <t>3</t>
    </r>
    <r>
      <rPr>
        <sz val="11"/>
        <color rgb="FF333333"/>
        <rFont val="Calibri"/>
        <family val="2"/>
        <scheme val="minor"/>
      </rPr>
      <t> which is immune to the offset frequency of two tone signals. The proposed LNA is implemented as a differential architecture in 0.13 μm CMOS technology, and measurements show +17.8 dBm, 12.4 dB and 1.6 dB of IIP </t>
    </r>
    <r>
      <rPr>
        <sz val="8"/>
        <color rgb="FF333333"/>
        <rFont val="Calibri"/>
        <family val="2"/>
        <scheme val="minor"/>
      </rPr>
      <t>3</t>
    </r>
    <r>
      <rPr>
        <sz val="11"/>
        <color rgb="FF333333"/>
        <rFont val="Calibri"/>
        <family val="2"/>
        <scheme val="minor"/>
      </rPr>
      <t> , gain and NF, respectively, while drawing 18.45 mA from 1.2 V.</t>
    </r>
  </si>
  <si>
    <t>Jeong-Yeol Bae, Suna Kim, In-Young Lee, et.al</t>
  </si>
  <si>
    <t>A 1 GHz 1.3 dB NF +13 dBm output P1dB SOI CMOS low noise amplifier for SAW-less receivers</t>
  </si>
  <si>
    <t>A complementary capacitive loaded LNA is implemented for 1 GHz application using a 0.18-μm SOI CMOS process. In order to improve both NF and linearity at the same time, the capacitive loading technique to achieve minimum NF and the complementary superposition with body-bias control to improve linearity are adopted. Owing to the capacitive loading technique, the required inductance of the gate inductor for minimum noise matching can be reduced compared to conventional inductive source-degenerated LNA. In case using on-chip gate inductor to implement fully integrated LNA, this greatly reduces the noise contribution of the gate inductor. The complementary superposition with body-bias control improves large signal linearity of gain compression (P1dB) as well as small signal linearity of third-order intercept point (IP3). The measurements demonstrate that the LNA, which is designed for 50 Ω system, has a power gain of 10.7 dB, a NF of 1.3 dB, an OIP3 of +29.1 dBm, and an output P1dB of +12.7 dBm at 1 GHz while drawing 20 mA from a 2.5 V supply voltage.</t>
  </si>
  <si>
    <t>A 30GHz 2dB NF low noise amplifier for Ka-band applications</t>
  </si>
  <si>
    <r>
      <t>A 30GHz Ka-band low noise amplifier (LNA) has been realized in a 0.25μm SiGe:C BiCMOS technology. A noise figure (NF) of 1.8-2.2 dB has been measured at 26-32 GHz. The achieved 3dB-power bandwidth is larger than 7GHz, with a peak gain of 12.4dB at 29.2GHz. The input 1 dB compression point (ICP </t>
    </r>
    <r>
      <rPr>
        <sz val="8"/>
        <color rgb="FF333333"/>
        <rFont val="Calibri"/>
        <family val="2"/>
        <scheme val="minor"/>
      </rPr>
      <t>1dB</t>
    </r>
    <r>
      <rPr>
        <sz val="11"/>
        <color rgb="FF333333"/>
        <rFont val="Calibri"/>
        <family val="2"/>
        <scheme val="minor"/>
      </rPr>
      <t> ) is -11dBm and input IP3 is -1.3dBm at 30GHz for a total power consumption of 98mW. The chip area including bond pads is 1mm×0.7mm.</t>
    </r>
  </si>
  <si>
    <t>Qian Ma, D. Leenaerts, R. Mahmoudi</t>
  </si>
  <si>
    <r>
      <t>A three stage single-ended LNA using transformer (TF) matching and gain-boosting by capacitive feedback for wideband operation in the 57-66GHz band is presented. The LNA, fabricated in a 65nm standard CMOS process, achieves a 23dB-gain 4dB NF at 6mA and 1.25V supply, with 2dBm P</t>
    </r>
    <r>
      <rPr>
        <sz val="8"/>
        <color rgb="FF333333"/>
        <rFont val="Calibri"/>
        <family val="2"/>
        <scheme val="minor"/>
      </rPr>
      <t>sat</t>
    </r>
    <r>
      <rPr>
        <sz val="11"/>
        <color rgb="FF333333"/>
        <rFont val="Calibri"/>
        <family val="2"/>
        <scheme val="minor"/>
      </rPr>
      <t> and 0.05mm</t>
    </r>
    <r>
      <rPr>
        <sz val="8"/>
        <color rgb="FF333333"/>
        <rFont val="Calibri"/>
        <family val="2"/>
        <scheme val="minor"/>
      </rPr>
      <t>2</t>
    </r>
    <r>
      <rPr>
        <sz val="11"/>
        <color rgb="FF333333"/>
        <rFont val="Calibri"/>
        <family val="2"/>
        <scheme val="minor"/>
      </rPr>
      <t> in size, demonstrating best reported noise figure, gain, power consumption and chip area compared to published 60 GHz LNAs. Different neutralization topologies were analyzed and compared based on analytical TF models that were created. Optimal gain-boosting is achieved by capacitive feedback after a 180-deg TF together with special decoupling capacitors of MOM and MOS stacked types.</t>
    </r>
  </si>
  <si>
    <t>A wideband gain-boosting 8mW LNA with 23dB gain and 4dB NF in 65nm CMOS process for 60 GHz applications</t>
  </si>
  <si>
    <t>Emanuel Cohen, Ofir Degani, Dan Ritter</t>
  </si>
  <si>
    <t>A 2–11 GHz reconfigurable multi-mode LNA in 0.13µm CMOS</t>
  </si>
  <si>
    <r>
      <t>This paper presents a reconfigurable multimode LNA capable of single band, concurrent dual-band, and ultra-wideband operation. The multi-mode operation is realized by incorporating a switched multi-tap transformer into the input matching network of an inductively degenerated common source amplifier. The proposed LNA achieves single band matching at 2.8 GHz, 3.3 GHz, and 4.6 GHz; concurrent dual-band matching at 2.05 GHz and 5.65 GHz; and ultra-wideband matching from 4.3 GHz to 10.8 GHz. The power dissipation is 6.4 mW from a 1.2 V supply. The chip was fabricated in 0.13μm CMOS and occupies an area of 1.04 × 0.7 mm </t>
    </r>
    <r>
      <rPr>
        <sz val="8"/>
        <color rgb="FF333333"/>
        <rFont val="Calibri"/>
        <family val="2"/>
        <scheme val="minor"/>
      </rPr>
      <t>2</t>
    </r>
    <r>
      <rPr>
        <sz val="11"/>
        <color rgb="FF333333"/>
        <rFont val="Calibri"/>
        <family val="2"/>
        <scheme val="minor"/>
      </rPr>
      <t> .</t>
    </r>
  </si>
  <si>
    <t>**(This LNA has multiple modes of operation)</t>
  </si>
  <si>
    <t>Bias optimized IP2 &amp; IP3 linearity and NF of a decade-bandwidth GaN MMIC feedback amplifier</t>
  </si>
  <si>
    <t>This paper describes the bias-optimized performance of a 0.25-3.5GHz Cascode feedback amplifier which achieves flat-gain over a decade of BW. The LNA is fabricated using 0.25um GaN HEMT technology with fT ~ 50 GHz and BVgd &gt;; 60V. A Cascode device is used for enhanced electrical and thermal performance but requires bias optimization. At an optimum low-noise bias of 10V-200mA, a remarkable NF of 0.88dB with P1dB &gt;; 1Watt and OIP3 of 38.7dBm is obtained at 2 GHz. This is believed to be the lowest NF achieved from a multi-octave BW flat-gain GaN LNA with greater than 1-Watt P1dB. At maximum IP2 and IP3 bias of 40V-500mA, the LNA achieves 20dB of flat-gain over a 250-2500MHz decade-band and a 3-dB BW of ~ 3.5 GHz. An IP3 of 50.6 dBm, a high IP2 of 70.5 dBm, and a P1B of 37.5 dBm (5.6-Watts) is achieved at 2 GHz with a corresponding NF of 2.2dB. This is an improvement in NF for state-of-the-art GaN LNAs with IP3 &gt;; 50 dBm and flat decade-BW gain response. Additional GaN bias-performance combinations are also revealed which indicate promise for next generation CATV, FTTX, software defined radio and BTS applications.</t>
  </si>
  <si>
    <t>*(This paper presents five different LNA's)</t>
  </si>
  <si>
    <r>
      <t>This paper studies the trade-off between different cell-based layout styles and V </t>
    </r>
    <r>
      <rPr>
        <sz val="8"/>
        <color rgb="FF333333"/>
        <rFont val="Calibri"/>
        <family val="2"/>
        <scheme val="minor"/>
      </rPr>
      <t>t</t>
    </r>
    <r>
      <rPr>
        <sz val="11"/>
        <color rgb="FF333333"/>
        <rFont val="Calibri"/>
        <family val="2"/>
        <scheme val="minor"/>
      </rPr>
      <t> options using a set of 5-GHz differential cascode LNAs. The test chip is fabricated in 65-nm CMOS process. The impact of merged diffusion area at the cascode node, the effect of gate contact style as well as the usage of normal V </t>
    </r>
    <r>
      <rPr>
        <sz val="8"/>
        <color rgb="FF333333"/>
        <rFont val="Calibri"/>
        <family val="2"/>
        <scheme val="minor"/>
      </rPr>
      <t>t</t>
    </r>
    <r>
      <rPr>
        <sz val="11"/>
        <color rgb="FF333333"/>
        <rFont val="Calibri"/>
        <family val="2"/>
        <scheme val="minor"/>
      </rPr>
      <t>versus low V </t>
    </r>
    <r>
      <rPr>
        <sz val="8"/>
        <color rgb="FF333333"/>
        <rFont val="Calibri"/>
        <family val="2"/>
        <scheme val="minor"/>
      </rPr>
      <t>t</t>
    </r>
    <r>
      <rPr>
        <sz val="11"/>
        <color rgb="FF333333"/>
        <rFont val="Calibri"/>
        <family val="2"/>
        <scheme val="minor"/>
      </rPr>
      <t> are presented. Our measurement results show that using individual device layout with separated diffusion area, low V </t>
    </r>
    <r>
      <rPr>
        <sz val="8"/>
        <color rgb="FF333333"/>
        <rFont val="Calibri"/>
        <family val="2"/>
        <scheme val="minor"/>
      </rPr>
      <t>t</t>
    </r>
    <r>
      <rPr>
        <sz val="11"/>
        <color rgb="FF333333"/>
        <rFont val="Calibri"/>
        <family val="2"/>
        <scheme val="minor"/>
      </rPr>
      <t> and double-sided gate contact provides better gain and noise performance. Specifically, the power gain and noise figure (NF) are improved by 1.5 dB and 0.3 dB, respectively, under the same bias current and power consumption. On the other hand, using normal V </t>
    </r>
    <r>
      <rPr>
        <sz val="8"/>
        <color rgb="FF333333"/>
        <rFont val="Calibri"/>
        <family val="2"/>
        <scheme val="minor"/>
      </rPr>
      <t>t</t>
    </r>
    <r>
      <rPr>
        <sz val="11"/>
        <color rgb="FF333333"/>
        <rFont val="Calibri"/>
        <family val="2"/>
        <scheme val="minor"/>
      </rPr>
      <t>devices with merged diffusion area achieves significantly better linearity with about 4-dBm increase in IIP3. Based on these findings, recommended layout and V </t>
    </r>
    <r>
      <rPr>
        <sz val="8"/>
        <color rgb="FF333333"/>
        <rFont val="Calibri"/>
        <family val="2"/>
        <scheme val="minor"/>
      </rPr>
      <t>t</t>
    </r>
    <r>
      <rPr>
        <sz val="11"/>
        <color rgb="FF333333"/>
        <rFont val="Calibri"/>
        <family val="2"/>
        <scheme val="minor"/>
      </rPr>
      <t> usage guidelines for RF amplifier design in 65-nm technology are proposed.</t>
    </r>
  </si>
  <si>
    <t>A performance study of layout and Vtoptions for low noise amplifier design in 65-nm CMOS</t>
  </si>
  <si>
    <t>Quan Pan, Tzu-JinYeh, Chewnpu Jou, et.al</t>
  </si>
  <si>
    <t>A DC-9.5GHz noise-canceling distributed LNA in 65nm CMOS</t>
  </si>
  <si>
    <t>04/06/2013</t>
  </si>
  <si>
    <r>
      <t>A wideband linearization technique using tunable multiple gated transistors (MGTRs) is proposed. Extra tunable input capacitors and the modified derivative superposition (DS) method are also adopted to increase the amplifier's linearity at RF. A low-noise amplifier (LNA) employing the proposed linearization technique has been developed with 0.18-μm CMOS process for various mobile TV standards in UHF band (470-862 MHz). The LNA achieves 19-dBm IIP </t>
    </r>
    <r>
      <rPr>
        <sz val="8"/>
        <color rgb="FF333333"/>
        <rFont val="Calibri"/>
        <family val="2"/>
        <scheme val="minor"/>
      </rPr>
      <t>3</t>
    </r>
    <r>
      <rPr>
        <sz val="11"/>
        <color rgb="FF333333"/>
        <rFont val="Calibri"/>
        <family val="2"/>
        <scheme val="minor"/>
      </rPr>
      <t> , 16.5-dB gain, and 1.33-dB NF with 10.8-mW power consumption. Over the desired UHF band, the LNA increases the average IIP </t>
    </r>
    <r>
      <rPr>
        <sz val="8"/>
        <color rgb="FF333333"/>
        <rFont val="Calibri"/>
        <family val="2"/>
        <scheme val="minor"/>
      </rPr>
      <t>3</t>
    </r>
    <r>
      <rPr>
        <sz val="11"/>
        <color rgb="FF333333"/>
        <rFont val="Calibri"/>
        <family val="2"/>
        <scheme val="minor"/>
      </rPr>
      <t> obtained with off-state auxiliary transistor by 11.7 dBm.</t>
    </r>
  </si>
  <si>
    <t>A highly linear low-noise amplifier using a wideband linearization technique with tunable multiple gated transistors</t>
  </si>
  <si>
    <t>Jaeyoung Lee, Jeiyoung Lee, Bonkee Kim, et.al</t>
  </si>
  <si>
    <t>Ultra-low voltage and low power UWB CMOS LNA using forward body biases</t>
  </si>
  <si>
    <t>An ultra-wideband (UWB) low noise amplifier (LNA) was designed and fabricated using 0.18μm 1.8V CMOS technology. The adoption of forward body biases (FBB) in a 3-stage distributed amplifier enables an aggressive scaling of the supply voltages and gate input voltage to 0.6V. The low voltage feature from FBB leads to more than 50% power consumption saving to 4.2mW. The measured power gain (S21) is higher than 10dB in 3.1~8.1GHz and noise figure is 2.83~4.7 dB in the wideband of 2~10GHz. Superior linearity is achieved with IIP3 as high as 4.2dBm and 12.5dBm at 6.5GHz and 10GHz, respectively.</t>
  </si>
  <si>
    <t>Chih-Shiang Chang, Jyh-Chyurn Guo</t>
  </si>
  <si>
    <t>19/05/2015</t>
  </si>
  <si>
    <t>A highly integrated single chip 5–6 GHz front-end IC based on SiGe BiCMOS that enhances 802.11ac WLAN radio front-end designs</t>
  </si>
  <si>
    <t>A highly integrated 4.9-5.9 GHz single chip front-end IC (FEIC) is presented, which is based on SiGe BiCMOS, realized in a 1.6 mm2 chip area and in an ultra-compact 1.7 × 2.0 × 0.33 mm3 package. The Tx chain has &gt;30 dB gain and meets -40 dB DEVM up to Pout of 15 dBm and -35 dB DEVM up to Pout of 17 dBm with a 3.3 V supply, insensitive to modulation bandwidths and duty cycle. The ultra-low back-off DEVM enables the emerging 1024-QAM applications. The integrated log detector enhances the dynamic range for the transmit power control. The Rx chain features &lt;;2.8 dB NF and 15 dB gain with 3 dBm IIP3 and 10 dB bypass attenuator with 23 dBm IIP3. All the unique features enhance the front-end circuit designs of complex radios based on the 802.11ac standard.</t>
  </si>
  <si>
    <t>Chun-Wen Paul Huang, Kenny Christainsen, Sergey Nabokin, et.al</t>
  </si>
  <si>
    <t>High-performance 81–86 GHz transceiver chipset for Point-to-Point communication in SiGe BiCMOS technology</t>
  </si>
  <si>
    <r>
      <t>Fully integrated chipset at E-band frequencies in a superhetrodyne architecture covering the 81-86 GHz band was designed and fabricated in 0.13 μm SiGe technology. The receiver chip includes an image-reject low-noise amplifier (LNA), RF-to-IF mixer, variable gain IF amplifier, quadrature IF-to-baseband de-modulators, tunable baseband filter, phase-locked loop (PLL), and frequency multiplier by four (quadrupler). The receiver chip achieves maximum gain of 73 dB, 6 dB noise figure, better than -12 dBm IIP3, with more than 65 dB dynamic range, and consumes 600 mW. The transmitter chip includes a power amplifier (PA), image-reject driver, variable RF attenuators, IF-to-RF upconverting mixer, variable gain IF amplifier, quadrature baseband-to-IF modulator, PLL, and frequency quadrupler. It achieves output power at P1dB of 16.6 dBm, P </t>
    </r>
    <r>
      <rPr>
        <sz val="8"/>
        <color rgb="FF333333"/>
        <rFont val="Calibri"/>
        <family val="2"/>
        <scheme val="minor"/>
      </rPr>
      <t>sat</t>
    </r>
    <r>
      <rPr>
        <sz val="11"/>
        <color rgb="FF333333"/>
        <rFont val="Calibri"/>
        <family val="2"/>
        <scheme val="minor"/>
      </rPr>
      <t> of 18.8 dBm on a single-ended output and consumes 1.8 W.</t>
    </r>
  </si>
  <si>
    <t>Roee Ben Yishay, Oded Katz, Benny Sheinman, et.al</t>
  </si>
  <si>
    <t>A complementary noise cancelling CMOS Low-noise amplifier (LNA) for mobile DTV application with enhanced linearity is proposed. Intrinsic noise cancellation mechanism maintains acceptable NF with reduced power consumption due to current reuse principle. Complementary multi-gated transistor (MGTR) technique is further employed to null the third-order distortion and compensate second-order nonlinearity of noise cancelling stage. Implemented in a 0.18-μm CMOS process, measurement results show that the proposed LNA provides a NF of 3 dB, and a maximum gain of 17.5 dB from 0.1 to 2 GHz. An input 1-dB compression point (IP1dB) and an IIP3 of -3 dBm and 14.3 dBm, respectively, are obtained. The circuit core only draws 9.7 mA from a 2.2 V supply.</t>
  </si>
  <si>
    <t>A wideband complementary noise cancelling CMOS LNA</t>
  </si>
  <si>
    <t>24/05/2016</t>
  </si>
  <si>
    <t>Benqing Guo, Jun Chen, Yao Wang, et.al</t>
  </si>
  <si>
    <r>
      <t>An ultra-low power (ULP) 2.4 GHz RF front-end which consists of a low noise amplifier (LNA) and a passive mixer in a standard 65nm CMOS is presented. LNA adopts a complementary input stage and a current reused 2 </t>
    </r>
    <r>
      <rPr>
        <sz val="8"/>
        <color rgb="FF333333"/>
        <rFont val="Calibri"/>
        <family val="2"/>
        <scheme val="minor"/>
      </rPr>
      <t>nd</t>
    </r>
    <r>
      <rPr>
        <sz val="11"/>
        <color rgb="FF333333"/>
        <rFont val="Calibri"/>
        <family val="2"/>
        <scheme val="minor"/>
      </rPr>
      <t> gain stage to achieve a high gain under a low power dissipation with an added linearization method. RF Down-conversion is implemented with a highly linearized complementary passive mixer, which adopts transmission gate type switches. With fully on-chip components, the front-end achieves 23 dB conversion gain, 8 dB NF, -36 dBm P1dB and -21 dBm IIP3 while dissipating a 64 μW power from a 0.6 V supply voltage. LNA achieves a high voltage gain of 26.3 dB and minimum NF of 5.5 dB with a P1dB of -27 dBm and IIP3 of -13 dBm.</t>
    </r>
  </si>
  <si>
    <t>A 64 µW, 23 dB gain, 8 dB NF, 2.4 GHz RF front-end for ultra-low power Internet-of-Things transceivers</t>
  </si>
  <si>
    <t>06/06/2017</t>
  </si>
  <si>
    <t>Anjana Dissanayake, Hyun-Gi Seok, Oh-Yong Jung, et.al</t>
  </si>
  <si>
    <t>A 0.7V low power LNA combines a 1:3 frontend balun with dual-path noise and non-linearity cancellation for improved noise performance at low power. In traditional techniques only the noise of the main path is cancelled while the noise of the auxiliary path is minimized by using high power. In the proposed design, the noise and non-linearity of both the main and the auxiliary paths are mutually cancelled allowing for low power operation. The 2.8dB NF, -10.7dBm IIP3 LNA in TSMC's 65nm GP process consumes 475μW of power resulting in an FOM of 28.8dB which is 8.2dB better than the state of the art.</t>
  </si>
  <si>
    <t>A sub-1V, 2.8dB NF, 475µW coupled LNA for internet of things employing dual-path noise and nonlinearity cancellation</t>
  </si>
  <si>
    <t>With the operating frequency of radio-frequency (RF) integrated circuits (ICs) ascending gradually to milli-meter-wave (mm-wave) regime, the RF IC design automation methods encounter great challenges due to the complicated distributed effects and parasitic effects. In this work, a new synthesis framework for mm-wave ICs is presented, which is featured by two progressive stages: offline preparation and online synthesis. In the former stage, to cope with the difficulty of mm-wave IC synthesis caused by passive components, a scalable modeling method is proposed, in which geometric parameters are incorporated into rational functions to accurately model the S-parameters up to 120GHz. Benefited from the dedicated offline preparation, during the online synthesis, the circuit performance evaluation and optimization are carried out without the time-consuming EM simulation. High-quality solutions can be obtained by using evolutionary algorithms with enough iterations. We applied the proposed approach to the design of a four-stage differential wideband low-noise amplifier (LNA) covering various mm-wave applications. The synthesized LNA is implemented in 65nm CMOS technology and the measured results show that it achieves the highest bandwidth (34GHz) with other comparable performances to the similar state-of-the-art CMOS broadband LNAs. The synthesis only costs 26min, which is more than 50x time speedUP compared to the existing mm-wave synthesis methods.</t>
  </si>
  <si>
    <t>12/06/2018</t>
  </si>
  <si>
    <t>An Efficient mm-wave Integrated Circuit Synthesis Method with Accurate Scalable Passive Component Modeling</t>
  </si>
  <si>
    <t>Zhijian Pan, Wei Zhu, Qiang Yao, et.al</t>
  </si>
  <si>
    <r>
      <t>This paper presents a 28.5 dB high-gain Ka-band low-noise amplifier (LNA) in a 0.25 μm SiGe:C BiCMOS technology. To achieve wide band (fractional bandwidth &gt; 25 </t>
    </r>
    <r>
      <rPr>
        <sz val="8"/>
        <color rgb="FF333333"/>
        <rFont val="Calibri"/>
        <family val="2"/>
        <scheme val="minor"/>
      </rPr>
      <t>%</t>
    </r>
    <r>
      <rPr>
        <sz val="11"/>
        <color rgb="FF333333"/>
        <rFont val="Calibri"/>
        <family val="2"/>
        <scheme val="minor"/>
      </rPr>
      <t> ) simultaneous noise and power matching with compact size, a 3-winding transformer based dualtank matching technique is proposed and implemented for the input matching. The LNA provides 28.5 dB peak gain at 32 GHz with a 3-dB gain bandwidth from 29 to 37 GHz. Within this bandwidth, it also achieves simultaneously low-noise (3.1-4.1 dB) and power matching (S </t>
    </r>
    <r>
      <rPr>
        <sz val="8"/>
        <color rgb="FF333333"/>
        <rFont val="Calibri"/>
        <family val="2"/>
        <scheme val="minor"/>
      </rPr>
      <t>11</t>
    </r>
    <r>
      <rPr>
        <sz val="11"/>
        <color rgb="FF333333"/>
        <rFont val="Calibri"/>
        <family val="2"/>
        <scheme val="minor"/>
      </rPr>
      <t> &lt;; -10 dB). The measured input IP3 and P </t>
    </r>
    <r>
      <rPr>
        <sz val="8"/>
        <color rgb="FF333333"/>
        <rFont val="Calibri"/>
        <family val="2"/>
        <scheme val="minor"/>
      </rPr>
      <t>1dB</t>
    </r>
    <r>
      <rPr>
        <sz val="11"/>
        <color rgb="FF333333"/>
        <rFont val="Calibri"/>
        <family val="2"/>
        <scheme val="minor"/>
      </rPr>
      <t> at 32 GHz are -12.5 dBm and - 22.0 dBm, respectively, and the total DC power consumption is 80 mW.</t>
    </r>
  </si>
  <si>
    <t>A 29–37 GHz BiCMOS Low-Noise Amplifier with 28.5 dB Peak Gain and 3.1-4.1 dB NF</t>
  </si>
  <si>
    <t>Zhe Chen, Hao Gao, Domine Leenaerts, et.al</t>
  </si>
  <si>
    <t>IMS</t>
  </si>
  <si>
    <t>16/06/2000</t>
  </si>
  <si>
    <t>A miniature and broadband, K-band p-HEMT LNA MMIC, that incorporates simple lumped matching elements and series bias topologies, has been developed for LMDS (Local Multi-point Distribution Service) and satellite communication. The gain and noise figure is 14.5+/-1.5 dB and 1.7+/-0.2 dB, respectively, at frequencies between 23 and 30 GHz. The die size of the MMIC is 0.9 mm/sup 2/, the gain-density of this MMIC is as high as 14.4 dB/mm/sup 2/, which is more than two times larger than that of previously reported.</t>
  </si>
  <si>
    <t>High gain-density K-band p-HEMT LNA MMIC for LMDS and satellite communication</t>
  </si>
  <si>
    <t>A. Fujihara, E. Mizuki, H. Miyamoto, et.al</t>
  </si>
  <si>
    <t>High performance 60-GHz coplanar MMIC LNA using InP heterojunction FETs with AlAs-InAs superlattice layer</t>
  </si>
  <si>
    <t>We describe a 60-GHz coplanar MMIC low-noise amplifier (LNA) using 0.1 /spl mu/m-gate-length InP heterojunction FETs (HJFETs). An optimum gate width of 80 /spl mu/m was determined for the first stage FET by using a small signal model including accurate scaling of the gate resistance. On-wafer noise measurements demonstrated a noise figure of 2.2 dB and a gain of 22.8 dB at 60 GHz.</t>
  </si>
  <si>
    <t>The design and fabrication of a 183 GHz MMIC LNA module is presented. The module has gain &gt;20 dB and noise figure &lt;8.3 dB waveguide flange to waveguide flange. This demonstrates that MMIC technology has advanced to the point that they can be considered as legitimate front ends for heterodyne receivers. This paper discusses the development of the module.</t>
  </si>
  <si>
    <t>A 183 GHz low noise amplifier module for the conical-scanning microwave imager sounder (CMIS) program</t>
  </si>
  <si>
    <t>R. Raja, M. Nishimoto, M. Barsky, et.al</t>
  </si>
  <si>
    <t>07/06/2002</t>
  </si>
  <si>
    <t>Ku-band MMIC's in low-cost, SMT compatible packages</t>
  </si>
  <si>
    <t>MM-wave components are very expensive due to the high package and assembly cost. This paper describes a 0.25 /spl mu/m PHEMT Ku-band 2-watt PA, and a 2.2 dB NF LNA MMIC in a low-cost SMT package ($2.00). The package has excellent thermal resistance, 0.5 C/W, return loss (20 dB), and input/output isolation (40 dB), from DC-40 GHz. We believe this is the first time such a package design has been published.</t>
  </si>
  <si>
    <t>Ho C. Huang, Amin Ezzeddine, Ali Danvish, et.al</t>
  </si>
  <si>
    <t>Geometry and bias current optimization for SiGe HBT cascode low-noise amplifiers</t>
  </si>
  <si>
    <t>This work presents a new design methodology for inductively-degenerated cascode low-noise amplifiers using advanced epitaxial-base SiGe HBTs. Noise figure, gain, and IIP3 are calculated using calibrated linear circuit analysis and a Volterra series methodology as a function of the two major design variables: emitter geometry and biasing current. An optimum SiGe HBT LNA design point which balances input impedance match, high IIP3, noise figure, gain, and power consumption is obtained from calculated noise figure, gain, and IIP3 contours as a function of bias current and geometry. Simplified analytical expressions of IIP3, gain, and noise figure are presented to give additional insight. The optimum LNA design point for the 50 GHz SiGe HBT process technology under study yields a 2 GHz LNA with 15.8 dBm IIP3, 18 dB gain, 1.15 dB noise figure, and a |s11| less than -20 dB for a biasing current of 7.5 mA. The calculated results show good agreement with HP Advanced-Design-System simulations. The design tradeoffs illuminated by this optimization methodology are highlighted and discussed.</t>
  </si>
  <si>
    <t>Qingqing Liang, Guofu Niu, John D. Cresslel, et.al</t>
  </si>
  <si>
    <t>This paper presents the design, development and measurement of a highly-integrated and high linearity RF front-end module with integrated filter for IEEE 802.11a wireless LAN applications. The developed front-end MMIC includes LNA, PA, and SPDT switch integrated on a single chip in a commercial GaAs MESFET process. An embedded 3-D band pass filter has been integrated on the front-end module using LTCC technology. The performance of the front-end module is compliant to the HiPERLAN-I and IEEE 802.11a RF standards. The LNA exhibits 16.5 dB of gain, 2.1 dB of noise figure and IIP3 of 2.8dBm. The PA shows the 24 dBm output power and IM3 of better than 25dBc. The SPDT switch demonstrates 1.2 dB of insertion loss and 28dBm of input P1dB. To the best of our knowledge, this is the first report on C-band PA-LNA-Switch integrated on a single chip with embedded LTCC filter.</t>
  </si>
  <si>
    <t>Broadband highly integrated LTCC front-end module for IEEE 802.11a WLAN applications</t>
  </si>
  <si>
    <t>C.-H. Lee, S. Chakraborty, A. Sutono, S. Yoo, et.al</t>
  </si>
  <si>
    <t>This paper describes a SiGe HBT low noise amplifier (LNA) design for IMT-2000 mobile applications. The emitter degeneration technique for stability and the out-of-band-termination technique for improvement of IP3 (third order intercept point) are applied to SiGe HBT LNA design. This SiGe HBT LNA yields a noise figure of 1.2 dB, 16 dB gain, an input return loss of 11 dB, and an output return loss of 14.3 dB over the desired frequency range (2.11-2.17 GHz). When the RF input power is -23 dBm, the input third order intercept point (IIP3) of 8.415 dBm and the output third order intercept point (OIP3) of 24.415 dBm are achieved.</t>
  </si>
  <si>
    <t>The design of SiGe HBT LNA for IMT-2000 mobile application</t>
  </si>
  <si>
    <t>Jeiyoung Lee, Geunho Lee, Guofu Niu, et.al</t>
  </si>
  <si>
    <t>A Low Noise Amplifier (LNA) based on a GaAs MESFET has been implemented with a modified cascode configuration using two common source transistors to achieve high gain and linearity, low noise figure and low power consumption. The circuit design concept is introduced and implemented. The measured performance of the LNA at 900 MHz includes a gain of 17 dB, noise figure of 1.6 dB, and IIP3 of 8.5 dBm using a supply of 4.7 mA and 2.7 V.</t>
  </si>
  <si>
    <t>A modified cascode type low noise amplifier using dual common source transistors</t>
  </si>
  <si>
    <t>Sungmin Ock, Kichon Han, Jong-Ryul Lee, Bumman Kim</t>
  </si>
  <si>
    <t>Compact LNA and VCO 3-D MMICs using commercial GaAs PHEMT technology for V-band single-chip TRX MMIC</t>
  </si>
  <si>
    <t>This paper presents compact V-band low-noise amplifier (LNA) and Ka-band voltage-control oscillator (VCO) 3-D MMICs for a V-band highly-integrated single-chip transceiver MMIC. 3-D MMICs are fabricated through the cooperation of commercial foundry GaAs pHEMT and 3-D interconnection processes. The LNA (chip size is 0.75 mm/sup 2/) achieves 15 dB gain and better than 3.3 dB noise figure from 50 GHz to 60 GHz. The VCO (chip size of 0.52 mm) achieves 11.5 dBm output power, 3.8 GHz oscillation frequency tuning range, and a phase noise of -102 dBc/Hz at 1 MHz offset and 28.6 GHz output signal. The cooperation 3-D MMIC technology with a high-performance commercial foundry technology promises low-cost, compact, and high performance millimeter-wave MMICs.</t>
  </si>
  <si>
    <t>Kenjiro Nishikawa, Belinda Piernas, Kenji Kamogawa, et.al</t>
  </si>
  <si>
    <t>A 60 GHz millimeter-wave MMIC chipset for broadband wireless access system front-end</t>
  </si>
  <si>
    <t>This paper presents a complete 60 GHz millimeter-wave MMIC chipset for broadband wireless access system. This chipset consists of a low noise amplifier, a power amplifier, an up-converter, a down-converter, a quadrupler and an SPDT switch. Frequency range of these MMICs is from 55 GHz to 64 GHz, this frequency covers the entire 60 GHz application band.</t>
  </si>
  <si>
    <t>Yutaka MIMINO, Kannichi NAKAMURA, Yuichi HASEGAWA, et.al</t>
  </si>
  <si>
    <t>13/06/2003</t>
  </si>
  <si>
    <t>Enhancement mode GaAs PHEMT LNA with linearity control (IP3) and phased matched mitigated bypass switch and differential active mixer</t>
  </si>
  <si>
    <t>A new front end IC has been designed using a single supply enhancement mode GaAs PHEMT 0.5 /spl mu/m process for WCDMA and other wireless applications. This front end has a single ended LNA, single ended in and differential out active balanced mixer with integrated LO, active balun, and buffer amplifier. The LNA also has CMOS logic controllable linearity (IP3) control and a phased matched mitigated bypass switch. The LNA draws 8.5 mA current when switched to high linearity mode and has 15 dB gain, 1 dB NF, -6 dBm IP/sub 1dB/ and 7.3 dBm IIP3. In low linearity mode, it draws 3.5 mA current and has 14 dB gain, 1.1 dB NF, -6 dBm IP/sub 1dB/ and 2 dBm IIP3. In LNA bypass mode, the total bypass loss is &lt;3.5 dB and has 7 dB NF, 5 dBm IIP3 and it draws /spl sim/1 mA current. Also, the bypass switch circuit has an integrated active phase shift network which maintains a phase difference of &lt;25/spl deg/ with LNA ON modes. In all conditions, the LNA/switch combo has &gt;10 dB I/O return loss. The mixer, with active balun and buffer amplifier, consumes 8 mA current and has 12 dB gain, 7 dB noise figure, 0 dBm IIP3 and provides a differential IF out with a differential impedance of about 1000 ohms. The above performance is measured at 2.14 GHz for WCDMA applications.</t>
  </si>
  <si>
    <t>Sushil Kumar, Michael Vice, Henrik Morkner,  Wayne Lam</t>
  </si>
  <si>
    <t>We describe the effects of substrate parasitics in silicon-based processes and present a methodology for designing low-noise amplifiers (LNAs) in silicon processes. Our techniques resulted in excellent agreement between simulations and measurements for a test case LNA design for 802.11a. This LNA, which covers 5-6 GHz and has gain switching is designed in a 0.8 μm SiGe bipolar technology with f/sub T/ of 50 GHz. The LNA exhibits a gain of more than 24 dB in the 5-6 GHz band with a noise figure (NF) less than 2.5 dB. The agreement between simulation and measured data is demonstrated.</t>
  </si>
  <si>
    <t>Development of IEEE802.11a WLAN LNA in silicon-based processes</t>
  </si>
  <si>
    <t>Bhaskar Banerjee, Babak Matinpour, Chang-Ho Lee, et.al</t>
  </si>
  <si>
    <t>**(This LNA has a low and high gain mode)</t>
  </si>
  <si>
    <t>A two stage fully integrated low-noise amplifier has been developed for 4.9-6 GHz WLAN applications. This circuit was realized in a 0.35 /spl mu/m SiGe BiCMOS process and packaged in a low cost plastic VFQFPN package. The circuit operates over a wide band (4.9-6 GHz) and draws 13.2 mA from 2.0 V supply. It exhibits a noise figure of 3.9 dB and a gain of 18.7 dB at 5.5 GHz. The measured IIP1 and IIP3 are respectively -13.9 dBm and -3.5 dBm at 5.5 GHz. The input and output return losses are lower than -10 dB and the gain ripple is less than 1.5 dB over all the frequency bandwidth.</t>
  </si>
  <si>
    <t>A low-cost-packaged 4.9-6 GHz LNA for WLAN applications</t>
  </si>
  <si>
    <t xml:space="preserve">Emmanuelle Imbs, Isabelle Telliez, Sylvain Detout, Yvon Imbs </t>
  </si>
  <si>
    <t>A 94 GHz low-noise amplifier MMIC (LNA) has been developed, based on a coplanar technology utilizing 0.07 /spl mu/m depletion type metamorphic HEMTs (MHEMTs). The realized single stage cascode LNA achieved a small-signal gain of more than 12 dB and an average noise figure of 23 dB over the bandwidth from 80 to 100 GHz. With an indium content of 80% in the channel, a 2/spl times/30 /spl mu/m MHEMT device has shown a transit frequency (f/sub t/) of 290 GHz, an extrinsic transconductance of 1450 mS/mm and a maximum stable gain (MSG) of 11 dB at 94 GHz. Using two HEMTs connected in cascode configuration, the MSG could be increased to 22 dB. To stabilize the cascode device and to increase the bandwidth of the amplifier circuit, a resistive feedback was integrated into the HEMT in common-gate configuration. Coplanar topology in combination with cascode transistors resulted in a chip-size of only 1/spl times/1 mm/sup 2/.</t>
  </si>
  <si>
    <t>A coplanar 94 GHz low-noise amplifier MMIC using 0.07 /spl mu/m metamorphic cascode HEMTs</t>
  </si>
  <si>
    <t>A. Tessmann, A. huther, C. Schwoerer, et.al</t>
  </si>
  <si>
    <t>Development of 5.8GHz SiGe BiCMOS direct conversion receivers</t>
  </si>
  <si>
    <t>We present the design, development and full characterization of two direct conversion receiver front-end architectures for IEEE802.11a application in IBM's SiGe BiCMOS technology. These approaches include: a) conventional 50/spl Omega/ system, b) fully monolithic front-end. The developed ICs are targeted for the upper U-NII band at frequency range of 5.725-5.825 GHz and include a low noise amplifier (LNA), two mixers in quadrature, and a frequency divider. All of these circuits use fully monolithic implementation. The LNA provides a gain of 11 dB, noise figure of 4.4dB, IIP3 of -2dBm and occupies an area of 0.7mm /spl times/ 0.7mm. A micromixer topology has been adopted in case of 50/spl Omega/ system and provides 9.2dB gain, input matching of 16dB, double sideband noise figure of 19.5 dB, input 1 dB compression point of -3 dBm, IIP3 and IIP2 of +6 and +32 dBm respectively, dynamic DC offset of 1.6mV, and occupies an area of 1.6mm /spl times/ 1mm. The fully integrated receiver utilizes single-ended Gilbert cell mixers, and occupies a compact area of 1.6mm /spl times/ 1.3mm. It exhibits 20.2dB gain, input 1 dB compression point (input P1dB) of -15.5 dBm, input matching of 15 dB, IIP3 and IIP2 of -3 dBm and +31 dBm respectively, double sideband noise figure of 7.1 dB, dynamic DC offset of 1mV, and LO to RF leakage of 78 dB. The LNA draws 5.78mA from a 2.8V supply, both micromixers draw 10.3mA from 3.1V supply, both Gilbert cell mixers draw 12.71mA from a 3.75V supply, and the frequency divider draws 22mA from 3.75V supply. Two different system architectures are chosen for an architectural trade-off of direct conversion receivers at 5.8GHz. To the best of our knowledge, this work presents the first report of SiGe BiCMOS direct conversion receiver front-ends and their architectural trade-offs for the IEEE802.11a standard at 5.8GHz.</t>
  </si>
  <si>
    <t>Sudipto Chakraborty, Scott K. Reynolds, Herschel Ainspan, Joy Laskar</t>
  </si>
  <si>
    <t>A W-band ultra low noise amplifier MMIC using GaAs pHEMT</t>
  </si>
  <si>
    <t>This paper presents a newly developed 76 GHz three-stage LNA for automotive radar systems. The LNA utilizes multi band rejection filter type stabilizing circuits to achieve good noise figure together with good stability. The operating bias condition was carefully chosen to obtain low temperature dependence of gain. As a result, the LNA delivers a noise figure of 3.5 dB typically, small temperature dependence of gain of -0.016 dB/deg.C and high return loss using a highly conventional 0.19 /spl mu/m T-shaped gate AlGaAs/InGaAs/GaAs pHEMT process.</t>
  </si>
  <si>
    <t>N. Tanahashi, K. Kanaya, T. Matsuzuka, et.al</t>
  </si>
  <si>
    <t>Ku-band low noise amplifier with using short-stub ESD protection</t>
  </si>
  <si>
    <t>A Ku-band ESD-protected low noise amplifier is designed using 0.15um pHEMT process. The input ESD protection is implemented with short-circuited stub. Since a short-circuited stub is used as an ESD protection as well as a matching element, there are no additional components and parasitic components associated with ESD protection. This endures 4400V (ESD tester limit) HBM test signal. The LNA has the noise figure of 1.24 dB and 24.5 dB gain at the frequency of 11.7-12.75 GHz.</t>
  </si>
  <si>
    <t>Chang-Kun Park, Min-Gun Kim, Chung-Han Kim, Songcheol Hong</t>
  </si>
  <si>
    <t>11/06/2004</t>
  </si>
  <si>
    <t>Gallium Nitride has emerged as the technology of choice for the next generation high power electronics. However, its ability to handling high power also makes it the perfect technology candidate for highly survivable receiver components. This has obvious cost benefit for the footprint of the LNA will be smaller since no extra front-end protection circuitry is required. In this paper, a wideband Gallium Nitride HEMT low noise amplifier MMIC, using novel dual gate topology, has been design and manufactured to demonstrate Gallium Nitride low noise capability.</t>
  </si>
  <si>
    <t>Wideband AlGaN/GaN HEMT low noise amplifier for highly survivable receiver electronics</t>
  </si>
  <si>
    <t>S. Cha, Y.H. Chung, M. Wojtowwicz, et.al</t>
  </si>
  <si>
    <t>InGaP/GaAs HBT MMICs for 5-GHz-band wireless applications - a high P1 dB, 23/4-dB step-gain low-noise amplifier and a power amplifier</t>
  </si>
  <si>
    <t>This paper describes the circuit design and measurement results of two InGaP/GaAs HBT MMICs, a low-noise amplifier (LNA) and a power amplifier (PA), for 5-GHz-band wireless LAN applications. The LNA including all on-chip matching and bias feed circuits delivers a high P1 dB of 13.5 dBm, a 23/4-dB step gain switching, and 2.4/3.6-dB low noise figure while keeping a low current consumption of 9.2 mA at 3 V. The PA featuring on-chip input and output matching exhibits 23.2 dBm of P1 dB and 23.2 dB of power gain with 30% PAE from 3.0-V power supply.</t>
  </si>
  <si>
    <t>K. Yamamoto, S. Suzuki, N. Ogawa, et.al</t>
  </si>
  <si>
    <t>**(This LNA has a high gain and low gain mode)</t>
  </si>
  <si>
    <t>A low power DC-7.8 GHz BiCMOS LNA for UWB and optical communication</t>
  </si>
  <si>
    <t>A low noise amplifier (LNA) for ultra wideband (UWB) and optical communication is presented in this paper. Active impedance matching allows a -3dB bandwidth from dc to 7.8GHz at 50/spl Omega/ port impedances. At a low power consumption of 1.8 V /spl times/ 3.6 mA, the amplifier has a power gain of 10.6 dB, a noise figure below 4.4 dB, an input compression of -12 dBm and return losses above 7.8 dB. The fully integrated circuit is fabricated on commercial 0.25/spl mu/m BiCMOS technology and requires a chip area of 0.45 mm/sup 2/.</t>
  </si>
  <si>
    <t>Frank Ellinger, David Barras, Martin Schmatz, Heinz Jackel</t>
  </si>
  <si>
    <t>Two X-band LNA ICs have been demonstrated using a 0.15 /spl mu/m metamorphic GaAs HEMT technology. The amplifiers have an average noise figure of 0.5 dB and power gain greater than 31 dB from 7-10 GHz. A current-shared version had gain flatness better than 1 dB, return losses greater than 11 dB, and power consumption of 42 mW. A high linearity version has an output third-order intercept point greater than 20.5 dBm from 6-12 GHz.</t>
  </si>
  <si>
    <t>X-band GaAs mHEMT LNAs with 0.5 dB noise figure</t>
  </si>
  <si>
    <t>M. S. Heins, J. M. Carroll, M. Kao, et.al</t>
  </si>
  <si>
    <t>*(This paper presents two LNA's)</t>
  </si>
  <si>
    <t>17/06/2005</t>
  </si>
  <si>
    <t>In this paper, we demonstrated the implementation of an LTCC-based ultra-wideband (UWB) front-end module that encompasses a wideband antenna, an impedance transformer, an LNA, and a harmonic VCO with very low power operation. The wideband asymmetric spiral antenna with an impedance transformer are implemented on a multilayer LTCC substrate while the LNA and the VCO are fabricated in 0.18/spl mu/m SiGe BiCMOS process. A novel multilayer impedance transformer topology, where a line type was gradually changed from CPW with ground plane to CPW without ground plane, is proposed and implemented. The fabricated LNA achieves gain of 13dB with NF of 3.3dB up to 10GHz while the harmonic VCO generates the LO signal from 1.52GHz up to 8GHz. To the best of authors' knowledge, this is the first demonstration of UWB antenna and RF front-end module for the multi-band OFDM system with very low power consumption of approximately 25mW.</t>
  </si>
  <si>
    <t>Ultra-wideband (UWB) RF front-end module implementation for multi-band OFDM system</t>
  </si>
  <si>
    <t>Y. Park, R. Mukhopadhyay, A. Wakejima, et.al</t>
  </si>
  <si>
    <t>A miniature dual-band low-noise amplifier module for IEEE 802.11 b/g/a WLAN applications</t>
  </si>
  <si>
    <t>This paper describes the design and implementation of a low-noise amplifier module in a single package that is capable of operating in both the 2.4 GHz band and the (4.9-6) GHz band. The module utilizes a MMIC fabricated using Agilent's proprietary low-noise enhancement-mode pHEMT process. A cascode configuration is used to obtain high gain and low currents for the 2.4 GHz band amplifier whilst a two-stage amplifier is used in the 5 GHz band. In the 2.45 GHz band, gain is 17 dB at 14 mA current with 0.9 dB of noise figure. In the 5 GHz band, gain is (22-24)dB at 22 mA and 1.5 dB average noise figure. Input P1dB is -5.5 dBm for the 2.4GHz LNA and typically -14 dBm for the 5 GHz LNA. IIP3 is +5.5 dBm for the 2.4 GHz LNA and typically -2dBm for the 5GHz band. The complete design uses only one RF input matching component external to the MMIC inside the module. The complete LNA is housed in a 3mm /spl times/ 3mm molded chip-on-board package and requires only two external bypass capacitors in actual operation.</t>
  </si>
  <si>
    <t>Yut.H. Chow, Thomas Chong, Zulfa Hasan, et.al</t>
  </si>
  <si>
    <t>Vdd (V)</t>
  </si>
  <si>
    <t>Vdd(V)</t>
  </si>
  <si>
    <t>16/06/2006</t>
  </si>
  <si>
    <t>A Fully-Integrated UWB CMOS LNA Using Network Synthesis Approach</t>
  </si>
  <si>
    <t>Yao-I Huang, Yi-Jan Emery Chen</t>
  </si>
  <si>
    <t>This paper presents the design of a fully-integrated ultra-wideband low-noise amplifier using a commercial 0.18mum CMOS technology. The adopted design techniques include feedback, network synthesis, and gain compensation. The measured noise figure is lower than 3.8 dB from 3.1 to 7.5 GHz. Operated on a 1.8V supply, the LNA delivers 19dB power gain and dissipates 32mW of power. The total chip size of the CMOS UWB LNA is 1.37mm times 1.19mm</t>
  </si>
  <si>
    <t>65GHz Doppler Sensor with On-Chip Antenna in 0.18μm SiGe BiCMOS</t>
  </si>
  <si>
    <r>
      <t>A single-chip 65GHz Doppler radar transceiver with on-chip patch antenna is reported. Implemented in a production 0.18mum SiGe BiCMOS process, it features a differential output transmit power of 4.3dBm, 16.5dB single-ended down-conversion gain and a double-sideband noise figure of 12.8dB. The radar includes a 65GHz 2-stage cascode LNA with S </t>
    </r>
    <r>
      <rPr>
        <sz val="8"/>
        <color rgb="FF333333"/>
        <rFont val="Calibri"/>
        <family val="2"/>
        <scheme val="minor"/>
      </rPr>
      <t>11</t>
    </r>
    <r>
      <rPr>
        <sz val="11"/>
        <color rgb="FF333333"/>
        <rFont val="Calibri"/>
        <family val="2"/>
        <scheme val="minor"/>
      </rPr>
      <t> &lt;-15dB at 50-94GHz and 14dB gain at 65GHz, a double-balanced down-convert mixer, a SiGe HBT IF amplifier with low 1/f noise, a VCO and a 65GHz output buffer. The LO is provided by an integrated varactor-tuned 61-67GHz VCO optimized for low phase noise. The patch antenna is designed to be impedance-matched for dual-band operation at 62.8 and 64.6GHz. The use of lumped inductors in all blocks and a vertically-stacked transformer for single-ended to differential conversion in the receive path help reduce the transceiver area to 1mm times 1mm</t>
    </r>
  </si>
  <si>
    <t>Terry Yao, Lamia Tchoketch-Kebir, Olga Yuryevich, et.al</t>
  </si>
  <si>
    <t>The packaged MMIC design and measured performance of from 12 to 30GHz are reported in this paper. A mature 0.25mum gate length low noise pseudomorphic HEMT technology has been used with a BCB-based protection allowing easy and high reliability chip integration into plastic packages. A standard plastic QFN SMD package has been successfully used: 25dB typical gain has been measured with less than 2.0 dB noise figure in all the frequency band from 12 to 30GHz and more than 26dBm output IP3 has been measured in the 18-26GHz frequency band</t>
  </si>
  <si>
    <t>Plastic Packaged High Linearity Low Noise Amplifier for 12-30GHz Multi-band Telecom Applications</t>
  </si>
  <si>
    <t>Estelle Byk, Pierre Quentin, Marc Camiade, Sylvie Tranchant</t>
  </si>
  <si>
    <t>A Highly Survivable 3-7 GHz GaN Low-Noise Amplifier</t>
  </si>
  <si>
    <t>A highly rugged low-noise GaN MMIC amplifier is presented that operates in the frequency band 3-7 GHz. A noise figure NF below 2.3 dB is measured from 3.5 to 7 GHz, with NF &lt; 1.8 dB between 5 and 7 GHz. The survivability of the LNA was assessed by several stress-tests, injecting in the input up to 36dBm at 4 GHz for 16 hours. To the authors knowledge, these are the most severe survivability tests for these circuits reported in the literature so far</t>
  </si>
  <si>
    <t>Matthias Rudolph, Reza Behtash, Klaus Hirche, et.al</t>
  </si>
  <si>
    <r>
      <t>This paper demonstrates the low-power operation of an InP HEMT V-band low-noise amplifier (LNA) MMIC. The device used here is a commercial 0.1-mum InP HEMT developed for high-speed digital ICs. The fabricated two-stage LNA MMIC, chip size of 0.9 mm </t>
    </r>
    <r>
      <rPr>
        <sz val="8"/>
        <color rgb="FF333333"/>
        <rFont val="Calibri"/>
        <family val="2"/>
        <scheme val="minor"/>
      </rPr>
      <t>2</t>
    </r>
    <r>
      <rPr>
        <sz val="11"/>
        <color rgb="FF333333"/>
        <rFont val="Calibri"/>
        <family val="2"/>
        <scheme val="minor"/>
      </rPr>
      <t> , employs two 50-mum gate-width InP HEMTs and coplanar waveguides. Under 0.4 V supply voltage operation, the MMIC achieves a noise figure of 2.86 dB at 60 GHz with an associated gain of 12.3 dB. The power dissipation of the MMIC was only 5.6 mW. The input IP3 was - 9 dBm at 60 GHz. A 3-dB bandwidth of 44.6 GHz to 67.2 GHz was also achieved. These results indicate the InP HEMT technology has a great potential for the low-voltage and low-power ICs that are needed for future millimeter-wave high-speed wireless applications</t>
    </r>
  </si>
  <si>
    <t>0.4 V, 5.6 mW InP HEMT V-band Low-Noise Amplifier MMIC</t>
  </si>
  <si>
    <t>Full Ka-band High Performance InP MMIC LNA Module</t>
  </si>
  <si>
    <t>A 0.1-mum InP HEMT Ka-band LNA with high and flat gain, very low noise figure and low VSWR has been developed. Across the entire Ka-band, of 26 GHz to 40 GHz, the MMIC LNA demonstrated associated gain of 21.9 plusmn 0.9 dB and an average noise figure of 1.5 dB with a minimum of 1.3 dB at 34 GHz. The LNA chip was cryogenically cooled to 12 K where it exhibited an associated gain of 23.0 plusmn 1.1 dB and an average noise temperature of 15.5 K, i.e. 0.23-dB noise figure. Two LNA chips were cascaded and assembled into a module. At room temperature, the module achieved an associated gain of 37.6 dB plusmn 1.8 dB and an average noise figure of 1.3 dB. At 15 K, the average noise temperature was improved to 11.4 K with 41.0 plusmn 2.4 dB associated gain</t>
  </si>
  <si>
    <t>Yu-Lung Tang, Niklas Wadefalk, Matthew A. Morgan, Sander Weinreb</t>
  </si>
  <si>
    <t>Ultra-Low-Power Wideband High Gain InAs/AlSb HEMT Low-Noise Amplifiers</t>
  </si>
  <si>
    <t>Two antimonide-based compound semiconductor (ABCS) microstrip MMICs, single-stage and three-stage ultra-low-power wideband 0.01-11 GHz low-noise amplifiers using 0.1-mum gate length InAs/AlSb metamorphic HEMTs, have been fabricated and characterized on a GaAs substrate. From 0.3-11 GHz, the single-stage wideband LNA demonstrated a typical associated gain of 16 dB with less than 1.7 dB noise figure (2-11 GHz) at 5mW DC power dissipation, and the three-stage wideband LNA demonstrated a typical associated gain of 30 dB with less than 2.6 dB noise figure (2-11 GHz) at 7.5mW DC power dissipation. We believe these low noise amplifier MMICs demonstrate the lowest DC power consumption with the highest gain-bandwidth product of any MMIC to date. These results demonstrate the outstanding potential of ABCS HEMT technology for ultra-low-power wideband applications</t>
  </si>
  <si>
    <t>Bob Yintat Ma, Jonathan B. Hacker, Joshua Bergman, et.al</t>
  </si>
  <si>
    <t>Very Compact High-gain Broadband Low-noise Amplifier in InP HEMT Technology</t>
  </si>
  <si>
    <r>
      <t>We successfully developed an InP high electron mobility transistor (HEMT) low-noise amplifier (LNA) using multi-layer transmission lines. The fabricated five-stage LNA achieved a 43 dB gain with a noise figure (NF) of 1.9 dB at 23 GHz and a gain of more than 40 dB from 18 to 43 GHz. The maximum gain was 49.5 dB at 32 GHz and the chip size was only 1.8 times 0.9 mm</t>
    </r>
    <r>
      <rPr>
        <sz val="8"/>
        <color rgb="FF333333"/>
        <rFont val="Calibri"/>
        <family val="2"/>
        <scheme val="minor"/>
      </rPr>
      <t>2</t>
    </r>
    <r>
      <rPr>
        <sz val="11"/>
        <color rgb="FF333333"/>
        <rFont val="Calibri"/>
        <family val="2"/>
        <scheme val="minor"/>
      </rPr>
      <t>, resulting in a gain density of 30.5 dB/mm</t>
    </r>
    <r>
      <rPr>
        <sz val="8"/>
        <color rgb="FF333333"/>
        <rFont val="Calibri"/>
        <family val="2"/>
        <scheme val="minor"/>
      </rPr>
      <t>2</t>
    </r>
    <r>
      <rPr>
        <sz val="11"/>
        <color rgb="FF333333"/>
        <rFont val="Calibri"/>
        <family val="2"/>
        <scheme val="minor"/>
      </rPr>
      <t>. To the best of our knowledge, this gain density is the highest performance in any Ka-band LNA reported to date. In addition, the design accuracy of the LNA was also demonstrated</t>
    </r>
  </si>
  <si>
    <t>The performance of four low power X-band low-noise amplifier (LNA) topologies implemented in a 0.18 μm SiGe BiCMOS technology is compared. All versions are fully integrated and designed to achieve a gain of 15 dB and a noise figure of 2.5 dB with a power consumption in the 1-3mW range. For a broadband cascode LNA, a gain of 16-18 dB, a noise figure of 3.5 dB and an input 1P3 of -16 dBm is achieved over a wide bandwidth from 7 GHz to 12 GHz for an associated power consumption of 1.8 mW. For the same power consumption, a cascode LNA optimized for narrowband exhibits a gain of 17 dB, a noise figure of 2.5 dB. This LNA also achieves a gain of 10 dB and 3.6 dB noise figure for an associated power consumption of only 0.8 mW. These values are the best reported X-band gains per mW DC power reported in any technology.</t>
  </si>
  <si>
    <t>Ultra-Low-Power X-band SiGe HBT Low-Noise Amplifiers</t>
  </si>
  <si>
    <t>08/06/2007</t>
  </si>
  <si>
    <t>P. Roux, Y. Baeyens, J. Weiner, Y.K. Chen</t>
  </si>
  <si>
    <t>*(This paper presents five different versions of an LNA design)</t>
  </si>
  <si>
    <t>A 10.8-GHz CMOS Low-Noise Amplifier Using Parallel-Resonant Inductor</t>
  </si>
  <si>
    <t>A noise-reduction design method using parallel-resonant technique is demonstrated to improve the noise performance of a 10-GHz CMOS cascode low-noise amplifier, which is designed and implemented in a standard mixed-signal/RF bulk 0.18-μm CMOS technology. Measurements show a power gain of 10 dB with noise figure of 2.5 dB at 10.8 GHz, which is believed to be the lowest NF among the LNAs using bulk 0.18 μm CMOS at this frequency.</t>
  </si>
  <si>
    <t>Kuo-Jung Sun, Zuo-Min Tsai, Kun-You Lin, Huei Wang</t>
  </si>
  <si>
    <r>
      <t>This paper reviews and analyzes a fully integrated ESD-protected low-noise amplifier (LNA) for low-power and narrow-band applications using a cascode inductive source degeneration topology, designed and fabricated in 130 nm CMOS SOI technology. The designed LNA shows 13 dB power gain at 2.4 GHz with a noise figure of 3.6 dB, input return loss of -13 dB for power consumption of 6.5 mW. An on chip "plug-and-play" ESD protection strategy using diodes and power clamp is used at the input and output of the LNA, has an ESD protection level up to 0.8, 0.9 and 1.4-A transmission line pulse (TLP) current. This corresponds to 1.4-kV, 1.2-kV and 2-kV human body model (HBM) stress applied at, respectively, the RF input, RF output and the V</t>
    </r>
    <r>
      <rPr>
        <sz val="8"/>
        <color rgb="FF333333"/>
        <rFont val="Calibri"/>
        <family val="2"/>
        <scheme val="minor"/>
      </rPr>
      <t>DD</t>
    </r>
    <r>
      <rPr>
        <sz val="11"/>
        <color rgb="FF333333"/>
        <rFont val="Calibri"/>
        <family val="2"/>
        <scheme val="minor"/>
      </rPr>
      <t> bus. Measurement shows a minor RF performance degradation by adding the protection diodes.</t>
    </r>
  </si>
  <si>
    <t>M. El Kaamouchil, M. Si Moussal, P. Delatte, et.al</t>
  </si>
  <si>
    <t>In this paper, we present the development of H-band (220 -325 GHz) low-noise amplifier MMICs for use in next generation high-resolution imaging systems. The amplifier circuits have been realized using an advanced 70-nm InAlAs/InGaAs based metamorphic high electron mobility transistor (MHEMT) technology. Furthermore, airbridge type transmission lines (ABTL) and conductor-backed coplanar circuit topology (CBCPW) were applied, leading to a compact chip size and excellent gain performance at high millimeter-wave frequencies. A realized four-stage ABTL low-noise amplifier circuit exhibited a small-signal gain of more than 18 dB between 216 and 238 GHz, while a four-stage coplanar LNA MMIC achieved a linear gain of 15 dB at 225 GHz and more than 12 dB over the bandwidth from 217 to 245 GHz.</t>
  </si>
  <si>
    <t>Metamorphic H-Band Low-Noise Amplifier MMICs</t>
  </si>
  <si>
    <t>A. Tessmann, A. Leuther, H. Massler, et.al</t>
  </si>
  <si>
    <r>
      <t>This paper presents a 30-38 GHz 4-bit phase shifter with an integrated LNA using a 0.12 </t>
    </r>
    <r>
      <rPr>
        <i/>
        <sz val="11"/>
        <color rgb="FF333333"/>
        <rFont val="Calibri"/>
        <family val="2"/>
        <scheme val="minor"/>
      </rPr>
      <t>μ</t>
    </r>
    <r>
      <rPr>
        <sz val="11"/>
        <color rgb="FF333333"/>
        <rFont val="Calibri"/>
        <family val="2"/>
        <scheme val="minor"/>
      </rPr>
      <t> m SiGe BiCMOS process. The two-stage LNA is implemented using SiGe HBT, and the phase shifter is based on MOSFET switches and miniature low-pass networks. The LNA/phase shifter achieves 1±1.5 dB of gain and 5 dB noise figure at 34 GHz. The RMS phase error is less than 7° at 30-38 GHz. The total chip size is 900×400 </t>
    </r>
    <r>
      <rPr>
        <i/>
        <sz val="11"/>
        <color rgb="FF333333"/>
        <rFont val="Calibri"/>
        <family val="2"/>
        <scheme val="minor"/>
      </rPr>
      <t>μ</t>
    </r>
    <r>
      <rPr>
        <sz val="11"/>
        <color rgb="FF333333"/>
        <rFont val="Calibri"/>
        <family val="2"/>
        <scheme val="minor"/>
      </rPr>
      <t> m </t>
    </r>
    <r>
      <rPr>
        <sz val="8"/>
        <color rgb="FF333333"/>
        <rFont val="Calibri"/>
        <family val="2"/>
        <scheme val="minor"/>
      </rPr>
      <t>2</t>
    </r>
    <r>
      <rPr>
        <sz val="11"/>
        <color rgb="FF333333"/>
        <rFont val="Calibri"/>
        <family val="2"/>
        <scheme val="minor"/>
      </rPr>
      <t> (0.36 mm </t>
    </r>
    <r>
      <rPr>
        <sz val="8"/>
        <color rgb="FF333333"/>
        <rFont val="Calibri"/>
        <family val="2"/>
        <scheme val="minor"/>
      </rPr>
      <t>2</t>
    </r>
    <r>
      <rPr>
        <sz val="11"/>
        <color rgb="FF333333"/>
        <rFont val="Calibri"/>
        <family val="2"/>
        <scheme val="minor"/>
      </rPr>
      <t> ) excluding pads, and the chip consumes only 3 mA from a 1.8 V bias supply (5.4 mW). To our best knowledge, this is the first implementation of a Ka-band silicon-based phase shifter.</t>
    </r>
  </si>
  <si>
    <t>Ka-Band BiCMOS 4-Bit Phase Shifter with Integrated LNA for Phased Array T/R Modules</t>
  </si>
  <si>
    <t>Byung-Wook Min, Gabriel M. Rebeizt</t>
  </si>
  <si>
    <r>
      <t>This paper presents the first single-chip 1.5 gigabit/s 60 GHz direct-conversion receiver. It consumes only 37 mW DC power (less than 25 pJ/bit) for a die size of only 3 mm times 1 mm. A three-stage front-end LNA, implemented in low-cost 0.15 mum silicon BiCMOS technology and utilizing a novel gain-boosting technique, shows a 24 dB measured gain with a 3.1 GHz 3-dB bandwidth with a DC power consumption of only 25 mW. A DC-biased-diode-based amplitude detector is integrated with the three-stage LNA in 3 mm times 1 mm for the direct down-conversion of the 60 GHz amplitude-modulated signal. The receiver chip is wire-bonded on a low-cost organic module with an integrated antenna. The measurement results show an excellent demodulation of 1.5 gigabit/s amplitude-modulated pseudo-random-binary-sequence up to a greater than 2 m distance from the transmitter. To the best knowledge of the authors, this fully integrated single chip (3 mm</t>
    </r>
    <r>
      <rPr>
        <sz val="8"/>
        <color rgb="FF333333"/>
        <rFont val="Calibri"/>
        <family val="2"/>
        <scheme val="minor"/>
      </rPr>
      <t>2</t>
    </r>
    <r>
      <rPr>
        <sz val="11"/>
        <color rgb="FF333333"/>
        <rFont val="Calibri"/>
        <family val="2"/>
        <scheme val="minor"/>
      </rPr>
      <t>) module solution, from antenna to demodulated baseband, exhibits the fastest transmitted data rate (1.5 Gbps) at the lowest power budget (25 pJ/bit) at 60 GHz reported till date.</t>
    </r>
  </si>
  <si>
    <t>A Single-Chip 25pJ/bit Multi-Gigabit 60GHz Receiver Module</t>
  </si>
  <si>
    <t>Saikat Sarkar, Joy Laskar</t>
  </si>
  <si>
    <t>20/06/2008</t>
  </si>
  <si>
    <t>We describe for the first time, a miniature GPS front-end module that achieves state-of-the-art gain and filtering in a single package. The module combines a E-mode pHEMT LNA MMIC with FBAR filter chip in a molded chip-on-board plastic package. At 2.7V supply voltage and 5mA current consumption, overall gain achieved is 18dB with 0.82dB noise figure. Filter rejection is better than 76dBc in the 827MHz and 65dBc in the 1.885GHz cellular frequency bands. The module is immune to interfering signals up to −3.7dBm at the above frequencies, more than adequate to prevent gain compression in a S-GPS environment. The complete chip is housed in a 2-layer BTNX green material PC board and occupies an area of (3.3 × 2.1)mm.</t>
  </si>
  <si>
    <t>A miniature LNA-Filter GPS receiver front-end module combining FBAR and E-mode pHEMT technology</t>
  </si>
  <si>
    <t>YH Chow, HT Tan, SC Low, et.al</t>
  </si>
  <si>
    <t>W-band SiGe LNA using unilateral gain peaking</t>
  </si>
  <si>
    <t>A 91 GHz low-noise amplifier (LNA) using a unilateral gain peaking design technique is presented. Parasitic capacitances from the layout of transistors are exploited in order to frequency shift the peak of Mason’s Unilateral Gain. This methodology enhances amplifier gain performance tremendously without additional power consumption or penalty in Noise Figure. The LNA was developed in IBM’s 8HP 0.12 μm, 200 GHz fT, SiGe technology. The measured results demonstrate a peak gain of 13 dB, an IIP3 of −5.4dBm, a Noise Figure of 5.1 dB with DC power consumption of only 8.1 mW at 91 GHz. The amplifier exhibits a 3-dB Gain Bandwidth of 16 GHz from 84 – 100 GHz with a minimum Gain of 10 dB and an average NF of only 5.5 dB. This device has the highest known reported figure of merit (28.9) for a silicon based W-Band LNA.</t>
  </si>
  <si>
    <t>Javier Alvarado Jr., Kevin T. Kornegay, Brian P. Welch, Yanxin W. Wang</t>
  </si>
  <si>
    <t>12/06/2009</t>
  </si>
  <si>
    <r>
      <t>A low-power frequency-reconfigurable narrowband LNA and PA have been designed using tunable RF-MEMS passives in a 0.35 mum BiCMOS process. The LNA's operating frequency varies from 2.7 GHz to 3.1 GHz and the PA's operating frequency varies from 2.7 GHz to 3.2 GHz (using the current 2.5:1 varactor tuning range; next generation varactors have 6.9:1 tuning range). With only 2.5 mW of power the LNA attains (S</t>
    </r>
    <r>
      <rPr>
        <sz val="8"/>
        <color rgb="FF333333"/>
        <rFont val="Calibri"/>
        <family val="2"/>
        <scheme val="minor"/>
      </rPr>
      <t>21</t>
    </r>
    <r>
      <rPr>
        <sz val="11"/>
        <color rgb="FF333333"/>
        <rFont val="Calibri"/>
        <family val="2"/>
        <scheme val="minor"/>
      </rPr>
      <t>, NF) of (7.7 dB, 4.2 dB) at 2.7 GHz and (10.2 dB, 4.8 dB) at 3.1 GHz. The PA delivers 10.1-13.7 dBm of power and has a PAE of 7.5-17% depending on the frequency.</t>
    </r>
  </si>
  <si>
    <t>MEMS varactor enabled frequency-reconfigurable LNA and PA in the upper UHF band</t>
  </si>
  <si>
    <t>Abhishek Jajoo, Leon Wang, Tamal Mukherjee</t>
  </si>
  <si>
    <t>An 8 – 18 GHz wideband SiGe BiCMOS low noise amplifier</t>
  </si>
  <si>
    <t>In this paper, an 8 - 18 GHz wideband low noise amplifier (LNA) with an active balun fabricated in a 0.13-mum SiGe BiCMOS technology was presented. The LNA achieves 16-dB of gain with 1.5 dB variation over the 8 GHz to 18 GHz frequency band and a matched input with less than -9 dB of reflection. The minimum noise figure (NF) is 5 dB at 8 GHz and increases to 6 dB at 18 GHz. The measured IIP3 is -15-dBm with 17 mA total current consumption from 2.2 V supply.</t>
  </si>
  <si>
    <t>Desheng Ma, Fa Foster Dai, Richard C. Jaeger, J. David Irwin</t>
  </si>
  <si>
    <t>Highly robust X-band LNA with extremely short recovery time</t>
  </si>
  <si>
    <t>GaN-based low-noise amplifiers (LNAs) recently were shown to provide high ruggedness together with low noise figure. These LNAs allow for simplified receiver architectures, e.g., since no limiter is required to protect the input. This paper for the first time presents an investigation of the recovery time of a highly rugged GaN LNA. The X-band LNA is shown to survive input overdrive powers up to 46 dBm under pulsed and 40 dB under cw conditions, with a noise figure of 2.8 dB. Extremely short recovery times below 10 ns were simulated and proved to be below the measurement resolution.</t>
  </si>
  <si>
    <t>Matthias Rudolph, Mike Dewitz, Armin Liero, et.al</t>
  </si>
  <si>
    <t>A low noise amplifier co-designed with ESD protection circuit in 65-nm CMOS</t>
  </si>
  <si>
    <t>By means of co-design ESD protection circuit as the low noise amplifier (LNA) input matching network, a 5.8-GHz LNA with excellent ESD and noise performances is demonstrated by a 65-nm CMOS technology. The diode-based ESD design with a power clamp can achieve 4 kV human body model (HBM) performance while the noise figure (NF) is only 0.05 dB higher than that of the LNA without the extra ESD blocks. Under a supply voltage of 1.2 V and drain current of 7 mA, the ESD-LNA has a NF of 1.9 dB with an associated power gain of 18 dB. The input third-order intercept point (IIP3) is -11 dBm and the input and output insertion losses are below -16 dB and -20 dB, respectively.</t>
  </si>
  <si>
    <t>Ming-Hsien Tsai, Shawn S. H. Hsu, Kevin K.W. Tan</t>
  </si>
  <si>
    <r>
      <t>In this paper, a miniature Q-band low noise amplifier (LNA) is demonstrated using 0.13-mum CMOS technology. The triple-cascode topology is utilized to achieve a high gain performance with a compact size. In addition, two inductors are placed between the cascode devices to reduce the noise and enhance the stability of the LNA. The LNA presents a maximum small signal gain of 12.6 dB and a minimum noise figure of 4 dB at 38 GHz, with a power consumption of 24 mW. The chip size is only 0.42 times 0.6 mm</t>
    </r>
    <r>
      <rPr>
        <sz val="8"/>
        <color rgb="FF333333"/>
        <rFont val="Calibri"/>
        <family val="2"/>
        <scheme val="minor"/>
      </rPr>
      <t>2</t>
    </r>
    <r>
      <rPr>
        <sz val="11"/>
        <color rgb="FF333333"/>
        <rFont val="Calibri"/>
        <family val="2"/>
        <scheme val="minor"/>
      </rPr>
      <t>, including all the testing pads. To the best of our knowledge, this is the first triple-cascode LNA in millimeter-wave (MMW) regime reported to date.</t>
    </r>
  </si>
  <si>
    <t>A miniature Q-band CMOS LNA with triple-cascode topology</t>
  </si>
  <si>
    <t>Bo-Jr Huang, Huei Wang, Kun-You Lin</t>
  </si>
  <si>
    <t>CMOS wideband LNA design using integrated passive device</t>
  </si>
  <si>
    <t>A complete CMOS wideband low noise amplifier (LNA) has been designed with off-chip passive device. The input inductor with integrated passive device (IPD) is used for input matching and NF improvement due to its high quality factor (Q). The large inductance of 4.7 nH of choke is used for covering the bandwidth of 2~11 GHz, which is stacked on the top of CMOS for chip-area saving. Besides, the interaction between CMOS and IPD for passive devices is also considered in the work. The CMOS wideband LNA is with the merits of cost-effective and high-performance compared to the pure CMOS circuit.</t>
  </si>
  <si>
    <t>Hsien-Ku Chen, Yuan-Chia Hsu, Ta-Yeh Lin, et.al</t>
  </si>
  <si>
    <t>Design and analysis of ultra wideband GaN dual-gate HEMT low noise amplifiers</t>
  </si>
  <si>
    <t>This paper presents two ultra wide bandwidth low noise amplifiers utilizing 0.18-um AlGaN/GaN HEMT technology. The single-stage, resistive feedback microstrip amplifiers target two different frequency bands, 0.3 - 4 GHz and 1.2 - 18 GHz, capable of better than 13:1 bandwidth. Both amplifiers use dual-gate HEMT devices with an on-chip drain bias network. The low frequency amplifier achieves 17.7 dB flat gain between 300 MHz - 3 GHz, and 1.2 dB minimum noise figure around 1.3 GHz. The high frequency LNA shows an average of 13 dB gain and between 2 to 3 dB noise figure across the band. The robust LNAs can be operated under various bias voltages while similar gain and noise figure performance are maintained.</t>
  </si>
  <si>
    <t>S.E. Shih, W.R. Deal, D. Yamauchi, et.al</t>
  </si>
  <si>
    <r>
      <t>This paper presents a chip set of RF front-end circuits using 65-nm CMOS technology. The chip set includes a LNA, a down-conversion mixer, an up-conversion mixer and a medium power amplifier. The LNA has the 3-dB bandwidth from 68 to 75 GHz with a peak value of 17 dB. The down-conversion mixer has a conversion loss of better than -5 dB from 53 to 73 GHz at 4 dBm LO power. The up-conversion mixer has a conversion loss better than -5 dB from 53 to 75 GHz at 6 dBm LO power. The medium power amplifier delivers 5 dBm P </t>
    </r>
    <r>
      <rPr>
        <sz val="8"/>
        <color rgb="FF333333"/>
        <rFont val="Calibri"/>
        <family val="2"/>
        <scheme val="minor"/>
      </rPr>
      <t>1dB</t>
    </r>
    <r>
      <rPr>
        <sz val="11"/>
        <color rgb="FF333333"/>
        <rFont val="Calibri"/>
        <family val="2"/>
        <scheme val="minor"/>
      </rPr>
      <t> and 6.7 dBm P </t>
    </r>
    <r>
      <rPr>
        <sz val="8"/>
        <color rgb="FF333333"/>
        <rFont val="Calibri"/>
        <family val="2"/>
        <scheme val="minor"/>
      </rPr>
      <t>sat</t>
    </r>
    <r>
      <rPr>
        <sz val="11"/>
        <color rgb="FF333333"/>
        <rFont val="Calibri"/>
        <family val="2"/>
        <scheme val="minor"/>
      </rPr>
      <t> at 71 GHz. These results show the potential of the 65-nm CMOS technology in high frequency circuit design.</t>
    </r>
  </si>
  <si>
    <t>A 71–76 GHz chip set for wireless communication in 65-nm CMOS technology</t>
  </si>
  <si>
    <t>Jhe-Jia Kuo, Wei-Heng Lin, Che-Chun Kuo, et.al</t>
  </si>
  <si>
    <r>
      <t>A 53.5-62-GHz wideband CMOS low-noise amplifier (LNA) with excellent phase linearity property is reported. Current-sharing technique is adopted to reduce power dissipation. The LNA (STD LNA) consumed 29.1 mW and achieved input return loss (S </t>
    </r>
    <r>
      <rPr>
        <sz val="8"/>
        <color rgb="FF333333"/>
        <rFont val="Calibri"/>
        <family val="2"/>
        <scheme val="minor"/>
      </rPr>
      <t>11</t>
    </r>
    <r>
      <rPr>
        <sz val="11"/>
        <color rgb="FF333333"/>
        <rFont val="Calibri"/>
        <family val="2"/>
        <scheme val="minor"/>
      </rPr>
      <t> ) of -10.3~ -19.5 dB, output return loss (S </t>
    </r>
    <r>
      <rPr>
        <sz val="8"/>
        <color rgb="FF333333"/>
        <rFont val="Calibri"/>
        <family val="2"/>
        <scheme val="minor"/>
      </rPr>
      <t>22</t>
    </r>
    <r>
      <rPr>
        <sz val="11"/>
        <color rgb="FF333333"/>
        <rFont val="Calibri"/>
        <family val="2"/>
        <scheme val="minor"/>
      </rPr>
      <t> ) of -13.8~ -27.8 dB, forward gain (S </t>
    </r>
    <r>
      <rPr>
        <sz val="8"/>
        <color rgb="FF333333"/>
        <rFont val="Calibri"/>
        <family val="2"/>
        <scheme val="minor"/>
      </rPr>
      <t>21</t>
    </r>
    <r>
      <rPr>
        <sz val="11"/>
        <color rgb="FF333333"/>
        <rFont val="Calibri"/>
        <family val="2"/>
        <scheme val="minor"/>
      </rPr>
      <t> ) of 8.1~ 11.1 dB, and reverse isolation (S </t>
    </r>
    <r>
      <rPr>
        <sz val="8"/>
        <color rgb="FF333333"/>
        <rFont val="Calibri"/>
        <family val="2"/>
        <scheme val="minor"/>
      </rPr>
      <t>12</t>
    </r>
    <r>
      <rPr>
        <sz val="11"/>
        <color rgb="FF333333"/>
        <rFont val="Calibri"/>
        <family val="2"/>
        <scheme val="minor"/>
      </rPr>
      <t> ) of -49.9~ -60.2 dB over the 53.5-62-GHz-band. The minimum NF (NF </t>
    </r>
    <r>
      <rPr>
        <sz val="8"/>
        <color rgb="FF333333"/>
        <rFont val="Calibri"/>
        <family val="2"/>
        <scheme val="minor"/>
      </rPr>
      <t>min</t>
    </r>
    <r>
      <rPr>
        <sz val="11"/>
        <color rgb="FF333333"/>
        <rFont val="Calibri"/>
        <family val="2"/>
        <scheme val="minor"/>
      </rPr>
      <t> ) is 5.4 dB at 62 GHz. To reduce the substrate loss, the CMOS process compatible backside inductively-coupled-plasma (ICP) deep trench technology is used to remove the silicon underneath the LNA. After the ICP etching, the LNA (ICP LNA) achieved maximum S </t>
    </r>
    <r>
      <rPr>
        <sz val="8"/>
        <color rgb="FF333333"/>
        <rFont val="Calibri"/>
        <family val="2"/>
        <scheme val="minor"/>
      </rPr>
      <t>21</t>
    </r>
    <r>
      <rPr>
        <sz val="11"/>
        <color rgb="FF333333"/>
        <rFont val="Calibri"/>
        <family val="2"/>
        <scheme val="minor"/>
      </rPr>
      <t>(S </t>
    </r>
    <r>
      <rPr>
        <sz val="8"/>
        <color rgb="FF333333"/>
        <rFont val="Calibri"/>
        <family val="2"/>
        <scheme val="minor"/>
      </rPr>
      <t>21-max</t>
    </r>
    <r>
      <rPr>
        <sz val="11"/>
        <color rgb="FF333333"/>
        <rFont val="Calibri"/>
        <family val="2"/>
        <scheme val="minor"/>
      </rPr>
      <t> ) of 13.2 dB, 2.1 dB higher than that (11.1 dB) of the STD LNA. In addition, the ICP LNA achieved NF </t>
    </r>
    <r>
      <rPr>
        <sz val="8"/>
        <color rgb="FF333333"/>
        <rFont val="Calibri"/>
        <family val="2"/>
        <scheme val="minor"/>
      </rPr>
      <t>min</t>
    </r>
    <r>
      <rPr>
        <sz val="11"/>
        <color rgb="FF333333"/>
        <rFont val="Calibri"/>
        <family val="2"/>
        <scheme val="minor"/>
      </rPr>
      <t> of 4.9 dB, 0.5 dB lower than that (5.4 dB) of the STD LNA. These results demonstrate the proposed LNA architecture in conjunction with the backside ICP technology is very promising for 60-GHz-band RFIC applications.</t>
    </r>
  </si>
  <si>
    <t>A 4.9-dB NF 53.5–62-GHz micro-machined CMOS wideband LNA with small group-delay-variation</t>
  </si>
  <si>
    <t>28/05/2010</t>
  </si>
  <si>
    <t>Chi-Chen Chen, Yo-Sheng Lin, Pen-Li Huang, et.al</t>
  </si>
  <si>
    <t>*(This paper presents two versions of the same LNA)</t>
  </si>
  <si>
    <r>
      <t>A new ESD topology is proposed for RF low-noise amplifier (LNA). By using the modified silicon-controlled rectifier (MSCR) in conjunction with a P</t>
    </r>
    <r>
      <rPr>
        <sz val="8"/>
        <color rgb="FF333333"/>
        <rFont val="Calibri"/>
        <family val="2"/>
        <scheme val="minor"/>
      </rPr>
      <t>+</t>
    </r>
    <r>
      <rPr>
        <sz val="11"/>
        <color rgb="FF333333"/>
        <rFont val="Calibri"/>
        <family val="2"/>
        <scheme val="minor"/>
      </rPr>
      <t>/N-well diode clamp, a 5.8-GHz LNA with 6.5-kV ESD protection circuit is demonstrated by a 65-nm CMOS technology. Compared with the reference design, the new topology enhances the ESD level from 3.5 kV to 6.5 kV for human body model (HBM) while the noise figure (NF) is only 0.13 dB higher. Under a supply voltage of 1.2 V and drain current of 6.5 mA, the proposed ESD-protected LNA has a NF of 2.57 dB with an associated power gain of 16.7 dB. The input third-order intercept point (IIP3) is -11 dBm and the input and output return losses are below -15.9 dB and -20 dB, respectively.</t>
    </r>
  </si>
  <si>
    <t>A 6.5kV ESD-protected low noise amplifier in 65-nm CMOS</t>
  </si>
  <si>
    <t>The design, fabrication and test of a 2-18 GHz monolithic Low Noise Amplifier utilizing 0.25 μm AlGaN/GaN HEMT technology is reported. The measured noise figure of the amplifier is less than 4.7dB over the 2 - 18 GHz frequency range, exhibiting a minimum of 3.3 dB at 3 GHz. The LNA gain is 23dB. Even being a low-noise amplifier, the MMIC can withstand 10W input CW RF power, demonstrating no apparent degradation: to the authors knowledge this is the best RF LNA survivability reported to date in this frequency range using GaN technology.</t>
  </si>
  <si>
    <t>An ultra-broadband robust LNA for defence applications in AlGaN/GaN technology</t>
  </si>
  <si>
    <t>W. Ciccognani, E. Limiti, P.E. Longhi, et.al</t>
  </si>
  <si>
    <r>
      <t>With the f</t>
    </r>
    <r>
      <rPr>
        <sz val="8"/>
        <color rgb="FF333333"/>
        <rFont val="Calibri"/>
        <family val="2"/>
        <scheme val="minor"/>
      </rPr>
      <t>MAX</t>
    </r>
    <r>
      <rPr>
        <sz val="11"/>
        <color rgb="FF333333"/>
        <rFont val="Calibri"/>
        <family val="2"/>
        <scheme val="minor"/>
      </rPr>
      <t> of current generation InP transistors pushing above 1-THz and new transistor scaling in progress, the operational frequency of solid-state amplifiers is being pushed towards THz frequencies. In this paper we present out latest work towards demonstrating THz frequency amplifiers, including measured gain and noise performance of a 0.48 THz low noise amplifier using scaled InP transistors. Initial performance of next generation transistors is also presented, along with infrastructure necessary to package and operate solid-state amplifiers at THz frequencies.</t>
    </r>
  </si>
  <si>
    <t>Solid-state amplifiers for terahertz electronics</t>
  </si>
  <si>
    <t>W.R. Deal</t>
  </si>
  <si>
    <r>
      <t>A 20-29 GHz wideband CMOS low-noise amplifier (LNA) with flat and low noise figure (NF), flat and high gain (S </t>
    </r>
    <r>
      <rPr>
        <sz val="8"/>
        <color rgb="FF333333"/>
        <rFont val="Calibri"/>
        <family val="2"/>
        <scheme val="minor"/>
      </rPr>
      <t>21</t>
    </r>
    <r>
      <rPr>
        <sz val="11"/>
        <color rgb="FF333333"/>
        <rFont val="Calibri"/>
        <family val="2"/>
        <scheme val="minor"/>
      </rPr>
      <t> ), and excellent phase linearity property (group-delay-variation is only ±22.6 ps across the whole band) is demonstrated. To achieve flat and low NF, the size, layout and bias of the input transistor were first optimized for minimum NF, and then the inductance of the input inductors was tuned to obtain a slightly under-damped (flat) NF frequency response. In addition, to achieve flat and high S </t>
    </r>
    <r>
      <rPr>
        <sz val="8"/>
        <color rgb="FF333333"/>
        <rFont val="Calibri"/>
        <family val="2"/>
        <scheme val="minor"/>
      </rPr>
      <t>21</t>
    </r>
    <r>
      <rPr>
        <sz val="11"/>
        <color rgb="FF333333"/>
        <rFont val="Calibri"/>
        <family val="2"/>
        <scheme val="minor"/>
      </rPr>
      <t> and small group-delay-variation, the inductive-peaking technique was adopted in the current-reused stage for bandwidth enhancement. The LNA consumed 18.85 mW power and achieved flat and low NF of 3.85±0.25 dB, and flat and high S </t>
    </r>
    <r>
      <rPr>
        <sz val="8"/>
        <color rgb="FF333333"/>
        <rFont val="Calibri"/>
        <family val="2"/>
        <scheme val="minor"/>
      </rPr>
      <t>21</t>
    </r>
    <r>
      <rPr>
        <sz val="11"/>
        <color rgb="FF333333"/>
        <rFont val="Calibri"/>
        <family val="2"/>
        <scheme val="minor"/>
      </rPr>
      <t> of 18.1±1.9 dB over the 20-29 GHz band of interest. These are the best NF and S </t>
    </r>
    <r>
      <rPr>
        <sz val="8"/>
        <color rgb="FF333333"/>
        <rFont val="Calibri"/>
        <family val="2"/>
        <scheme val="minor"/>
      </rPr>
      <t>21</t>
    </r>
    <r>
      <rPr>
        <sz val="11"/>
        <color rgb="FF333333"/>
        <rFont val="Calibri"/>
        <family val="2"/>
        <scheme val="minor"/>
      </rPr>
      <t>performances ever reported for a 21.65-26.65 GHz or a 22-29 GHz wideband CMOS LNA.</t>
    </r>
  </si>
  <si>
    <t>A 18.85 mW 20–29 GHz wideband CMOS LNA with 3.85±0.25 dB NF and 18.1±1.9 dB gain</t>
  </si>
  <si>
    <t>Yi-Ting Chiu, Yo-Sheng Lin, Jin-Fa Chang</t>
  </si>
  <si>
    <t>By means of co-designed methodology, a 24-GHz low-noise amplifier, utilizing junction varactors as ESD protection, is first demonstrated by a 65-nm CMOS technology. The ESD protection capability of the junction varactors with multi-finger topology is characterized in details by transmission line pulse (TLP) measurements. Under a 1.2-V supply voltage and a 5.8-mA drain current, the proposed LNA achieves a 1.4-A TLP failure level, corresponding to an over 2-kV human body model (HBM) ESD protection. The LNA presents a lowest noise figure of 2.8 dB at 23.5 GHz and a peak power gain of 14.3 dB at 24 GHz, respectively. The input third-order intercept point (IIP3) is -5 dBm and the input and output return losses are both greater than 10 dB. To the best of our knowledge, this is the first attempt using junction varactors as the ESD device in 65-nm CMOS.</t>
  </si>
  <si>
    <t>A 24-GHz low-noise amplifier co-designed with ESD protection using junction varactors in 65-nm RF CMOS</t>
  </si>
  <si>
    <t>10/06/2011</t>
  </si>
  <si>
    <t>Ming-Hsien Tsai, Fu-Lung Hsueh, Chewn-Pu Jou, et.al</t>
  </si>
  <si>
    <r>
      <t>In this paper, a miniature Q-band low noise amplifier (LNA) is fabricated for demonstration using 90-nm Low Power (LP) CMOS technology. The quadruple-cascode topology is applied to achieve a high gain performance with a compact chip size. Besides, a transformer is placed between the cascode devices to reduce the noise figure and enhance the stability and also bandwidth of the LNA. The LNA features a maximum small signal gain of 20.3 dB and a minimum noise figure of 4.6 dB at 40 GHz, with a power consumption of 15 mW. The chip size is only 0.48 × 0.44 mm </t>
    </r>
    <r>
      <rPr>
        <sz val="8"/>
        <color rgb="FF333333"/>
        <rFont val="Calibri"/>
        <family val="2"/>
        <scheme val="minor"/>
      </rPr>
      <t>2</t>
    </r>
    <r>
      <rPr>
        <sz val="11"/>
        <color rgb="FF333333"/>
        <rFont val="Calibri"/>
        <family val="2"/>
        <scheme val="minor"/>
      </rPr>
      <t> , including all the testing pads. To the best of our knowledge, this is the first quadruple-cascode LNA in millimeter-wave (MMW) regime reported to date.</t>
    </r>
  </si>
  <si>
    <t>A Miniature Q-band CMOS LNA with quadruple-cascode topology</t>
  </si>
  <si>
    <t>Han-Chih Yeh, Huei Wang</t>
  </si>
  <si>
    <t>Wideband Low-Noise-Amplifier (LNA) with Lg = 50 nm InGaAs pHEMT and wideband RF chokes</t>
  </si>
  <si>
    <r>
      <t>This paper presents a 2-stage Low-Noise-Amplifier (LNA) MMIC which provides ultra-low-noise, broad bandwidth, and high associated gain while consuming a fairly low DC power dissipation of 20 mW. The amplifier has been fabricated using L </t>
    </r>
    <r>
      <rPr>
        <sz val="8"/>
        <color rgb="FF333333"/>
        <rFont val="Calibri"/>
        <family val="2"/>
        <scheme val="minor"/>
      </rPr>
      <t>g</t>
    </r>
    <r>
      <rPr>
        <sz val="11"/>
        <color rgb="FF333333"/>
        <rFont val="Calibri"/>
        <family val="2"/>
        <scheme val="minor"/>
      </rPr>
      <t> = 50 nm enhancement-mode (E-mode) In </t>
    </r>
    <r>
      <rPr>
        <sz val="8"/>
        <color rgb="FF333333"/>
        <rFont val="Calibri"/>
        <family val="2"/>
        <scheme val="minor"/>
      </rPr>
      <t>0.7</t>
    </r>
    <r>
      <rPr>
        <sz val="11"/>
        <color rgb="FF333333"/>
        <rFont val="Calibri"/>
        <family val="2"/>
        <scheme val="minor"/>
      </rPr>
      <t> Ga </t>
    </r>
    <r>
      <rPr>
        <sz val="8"/>
        <color rgb="FF333333"/>
        <rFont val="Calibri"/>
        <family val="2"/>
        <scheme val="minor"/>
      </rPr>
      <t>0.3</t>
    </r>
    <r>
      <rPr>
        <sz val="11"/>
        <color rgb="FF333333"/>
        <rFont val="Calibri"/>
        <family val="2"/>
        <scheme val="minor"/>
      </rPr>
      <t> As pHEMTs on a 4-mil InP substrate. By using broad bandwidth RF chokes, the LNA exhibits an average noise figure (NF) of 1.1 dB from 4 to 24 GHz with a minimum associated gain (G </t>
    </r>
    <r>
      <rPr>
        <sz val="8"/>
        <color rgb="FF333333"/>
        <rFont val="Calibri"/>
        <family val="2"/>
        <scheme val="minor"/>
      </rPr>
      <t>a</t>
    </r>
    <r>
      <rPr>
        <sz val="11"/>
        <color rgb="FF333333"/>
        <rFont val="Calibri"/>
        <family val="2"/>
        <scheme val="minor"/>
      </rPr>
      <t> ) of 17 dB. To the knowledge of the authors, this is the first demonstration of an LNA that covers from C-band to K-band with NF &lt;; 1.1 dB. This is allowed for by combining the extremely low NF characteristics of an advanced InGaAs pHEMT with broadband RF chokes.</t>
    </r>
  </si>
  <si>
    <t>Peter S. Chen, Dae-Hyun Kim, Joshua Bergman, et.al</t>
  </si>
  <si>
    <t>C-Ku band GaN MMIC T/R frontend module using multilayer ceramics technology</t>
  </si>
  <si>
    <r>
      <t>A C-Ku band GaN monolithic microwave integrated circuit (MMIC) transmitter/receiver (T/R) frontend module with a novel RF interface structure has been successfully developed by using multilayer ceramics technology. This interface improves the insertion loss with wideband characteristics operating up to 40 GHz. The module contains a GaN power amplifier (PA) with output power higher than 10 W over 6-18 GHz and a GaN low-noise amplifier (LNA) with a gain of 15.9 dB over 3.2-20.4 GHz and noise figure (NF) of 2.3-3.7 dB over 4-18 GHz. A fabricated T/R module occupying only 12 × 30 mm </t>
    </r>
    <r>
      <rPr>
        <sz val="8"/>
        <color rgb="FF333333"/>
        <rFont val="Calibri"/>
        <family val="2"/>
        <scheme val="minor"/>
      </rPr>
      <t>2</t>
    </r>
    <r>
      <rPr>
        <sz val="11"/>
        <color rgb="FF333333"/>
        <rFont val="Calibri"/>
        <family val="2"/>
        <scheme val="minor"/>
      </rPr>
      <t> delivers an output power of 10 W up to the Ku-band. To our knowledge, this is the first demonstration of a C-Ku band T/R frontend module using GaN MMICs with wide bandwidth, 10W output power, and small size operating up to the Ku-band.</t>
    </r>
  </si>
  <si>
    <t>Satoshi Masuda, Masao Yamada, Toshihiro Ohki, et.al</t>
  </si>
  <si>
    <t>22/06/2012</t>
  </si>
  <si>
    <r>
      <t>In this paper, a Q-band low noise amplifier (LNA) is designed using in 90-nm low power (LP) CMOS. This LNA achieves a high gain and low noise. Besides, a transformer is placed between the cascode devices to reduce the noise figure and enhance the stability, as well as also bandwidth. The LNA features a maximum small signal gain of 13.8 dB and a minimum noise figure of 3.8 dB at 37 GHz, with a power consumption of 18mW. The chip size is 0.93 × 0.52 mm </t>
    </r>
    <r>
      <rPr>
        <sz val="8"/>
        <color rgb="FF333333"/>
        <rFont val="Calibri"/>
        <family val="2"/>
        <scheme val="minor"/>
      </rPr>
      <t>2</t>
    </r>
    <r>
      <rPr>
        <sz val="11"/>
        <color rgb="FF333333"/>
        <rFont val="Calibri"/>
        <family val="2"/>
        <scheme val="minor"/>
      </rPr>
      <t> , including all the testing pads. To the best of our knowledge, this is the first magnetic coupled cascode LNA in Q-band reported to date.</t>
    </r>
  </si>
  <si>
    <t>A low voltage Q-band CMOS LNA with magnetic coupled cascode topology</t>
  </si>
  <si>
    <t>Han-Chih Yeh, Chau-Ching Chiong, Huei Wang</t>
  </si>
  <si>
    <t>In this paper, an ultra-low-power and low-noise amplifier is presented for 90-nm CMOS RF frontends. By employing current-reused, and forward-body-bias techniques, a low-noise amplifier (LNA) can operate at a reduced supply voltage with micro-watt dc power consumption while maintaining reasonable gain performance at millimeter-wave frequencies. To reduce noise factor and bias current simultaneously, transformer feedback technique is selected to make compromise between noise figure and input matching. From the measurement results, the LNA exhibits a gain of 10.6 dB and noise figure of 5.4 dB at 40.2 GHz. Operated at a supply voltage of 1.0 V, the dc power consumption of the LNA is 917 µW.</t>
  </si>
  <si>
    <t>A 917-µW Q-band transformer-feedback current-reused LNA using 90-nm CMOS technology</t>
  </si>
  <si>
    <t>Min Huang, Jeng-Han Tsai, Tian-Wei Huang</t>
  </si>
  <si>
    <t>This paper presents a first reported 60-GHz fully integrated 90-nm CMOS RF sub-harmonic receiver with an artificial magnetic conductor (AMC) on-chip antenna and a balun-filter. The on-chip antenna with AMC structure can reduce the substrate loss and increase the antenna radiation efficiency and power gain. The on-chip balun-filter combines the integrated design of the balun and RF bandpass filter (BPF) which can reduce the circuit size and the insertion loss. In order to mitigate the DC offset, the sub-harmonic receiver is adopted in this work. The probe-station based on-wafer wireless transmission test at a distance of R=1 m is conducted. The measurement show that the receiving conversion gain CGant+Rx and OIP3 of the integrated RF receiver (with the AMC on-chip antenna and balun-filter) are 16 dB and 3 dBm, respectively, at 60 GHz. The study will be very useful for the design of a fully integrated mm-wave CMOS single-chip radio.</t>
  </si>
  <si>
    <t>A 60-GHz fully integrated CMOS sub-harmonic RF receiver with mm-wave on-chip AMC-antenna/balun-filter and on-wafer wireless transmission test</t>
  </si>
  <si>
    <t>H.-C. Kuo, H.-H. Wang, H.-L. Yue, et.al</t>
  </si>
  <si>
    <t>This paper reports a wideband MMIC low noise amplifier using a 50nm L g E-mode InGaAs PHEMT technology. It demonstrates simultaneous 22dB S21 gain and 1.0dB noise figure at 24GHz operation. The MMIC was designed for 18–35GHz bandwidth; however, noise figure is low and gain is appreciable from 4–40GHz. The amplifier survived being separately subjected to high-power bursts (18dBm P in , 60-sec), and elevated temperature burn-in (85°C for 24-hours) to verify its power handling capability and long-term reliability. The overall amplifier performance, yield, and reliability show that this InGaAs PHEMT technology has the requisite figures-of-merits to advance receiver system performance in hostile environments, as well as the increasingly more demanding commercial environment.</t>
  </si>
  <si>
    <t>Commercial wideband MMIC low noise amplifier with 50nm gate-length E-mode InGaAs PHEMT</t>
  </si>
  <si>
    <t>Bob Y. Ma, Josh Bergman, Dae Hyun Kim, et.al</t>
  </si>
  <si>
    <r>
      <t>An X-band transceiver frontend monolithic microwave integrated circuit (MMIC) has been successfully developed by using GaN HEMT technology. The MMIC contains a power amplifier (PA) with output power higher than 19 W at 10.5 GHz, a low-noise amplifier (LNA) with a gain of 18.5 dB and noise figure (NF) of 2.3 dB at 10 GHz, and an SPDT switch. The fabricated transceiver MMIC occupying only 3.6 × 3.3 mm </t>
    </r>
    <r>
      <rPr>
        <sz val="8"/>
        <color rgb="FF333333"/>
        <rFont val="Calibri"/>
        <family val="2"/>
        <scheme val="minor"/>
      </rPr>
      <t>2</t>
    </r>
    <r>
      <rPr>
        <sz val="11"/>
        <color rgb="FF333333"/>
        <rFont val="Calibri"/>
        <family val="2"/>
        <scheme val="minor"/>
      </rPr>
      <t>delivers an output power of 6.3 W. To the authors' knowledge, this is the first GaN single-chip transceiver frontend MMIC in the X-band.</t>
    </r>
  </si>
  <si>
    <t>GaN single-chip transceiver frontend MMIC for X-band applications</t>
  </si>
  <si>
    <t>Satoshi Masuda, Masao Yamada, Youichi Kamada, et.al</t>
  </si>
  <si>
    <r>
      <t>In this paper, a high-gain and wideband low-noise amplifier using 65-nm CMOS process is proposed. A four-stage cascode configuration is adopted to achieve the high gain and wideband performance. With 24-mA dc current and 2-V supply voltage, the LNA not only provides gain higher than 20 dB from 75.5 GHz to 120.5 GHz, but also has a measured noise figure between 6 and 8.3 dB from 87 to 100 GHz. The output 1-dB compression power (OP 1dB ) is −3 dBm at 110 GHz, and the chip size is 0.55 × 0.45 mm </t>
    </r>
    <r>
      <rPr>
        <sz val="8"/>
        <color rgb="FF333333"/>
        <rFont val="Calibri"/>
        <family val="2"/>
        <scheme val="minor"/>
      </rPr>
      <t>2</t>
    </r>
    <r>
      <rPr>
        <sz val="11"/>
        <color rgb="FF333333"/>
        <rFont val="Calibri"/>
        <family val="2"/>
        <scheme val="minor"/>
      </rPr>
      <t> .</t>
    </r>
  </si>
  <si>
    <t>A 75.5-to-120.5-GHz, high-gain CMOS low-noise amplifier</t>
  </si>
  <si>
    <t>De-Ren Lu, Yu-Chung Hsu, Jui-Chih Kao, et.al</t>
  </si>
  <si>
    <t>This paper presents an ESD-protected V-band (f0 at 58 GHz) low-noise amplifier (LNA) in 65-nm CMOS. Instead of using the conventional diode-based RF ESD design, a high current capability spiral inductor and a high breakdown MOM capacitor are employed as effective bi-directional ESD protection network, and also as part of the input matching by the co-design approach. The measured results demonstrate an over 8-kV HBM ESD protection level with a NF of 5.3 dB and a power gain of 17.5 dB at 58 GHz, under a power consumption of 18 mW. To our best knowledge, this LNA presents a highest ESD protection level and a lowest NF, compared with prior arts in a similar frequency range.</t>
  </si>
  <si>
    <t>A V-band low-noise amplifier with 5.3-dB NF and over 8-kV ESD protection in 65-nm RF CMOS</t>
  </si>
  <si>
    <t>Ming-Hsien Tsai, Shawn S. H. Hsu, Tzu-Jin Yeh, et.al</t>
  </si>
  <si>
    <t>A K-band (18–26.5 GHz) single-chip reconfigurable and multi-functional RF-MEMS switched dual-LNA MMIC (optimized for lowest/highest possible noise figure/linearity) is presented. The two MEMS switched low-NF and high-linearity LNA circuit functions present 18.6 dB/9.0 dB, 2.4 dB/3.5 dB and 22 dBm/29 dBm of small-signal gain, noise figure and OIP 3 at 20 GHz, respectively. The in-band isolation levels of the two switched LNA paths equal 16–20 dB when the MEMS switches are switched on and off. Compared with two fixed (non-reconfigurable) LNA breakout circuits, the MEMS switched LNA circuit functions show 0.5–1.0 dB higher NF together with similar values of linearity at 15–25 GHz.</t>
  </si>
  <si>
    <t>A K-band single-chip reconfigurable/multi-functional RF-MEMS switched dual-LNA MMIC</t>
  </si>
  <si>
    <t>Robert Malmqvist, Carl Samuelsson, Andreas Gustafsson, et.al</t>
  </si>
  <si>
    <t>This paper presents an 18-to-32-GHz ultra wideband (UWB) low-noise amplifier (LNA) in a bulk 0.13-µm CMOS technology. The LNA consisting of four stages exhibits a flat gain of 14.5 ± 1.5 dB over the entire 18-to-32 GHz and a noise figure of 5.5 ± 0.4 dB at K-band (18 to 26.5 GHz). Moreover, the group delay variation is suppressed as low as 63.5 ± 6.5 ps over 21–26 GHz. The wideband characteristics of gain and group delay are achieved by a slope offset technique. The individual stages are designed, such that the transfer function of each stage shows its peak at different frequencies by adjusting the output resonance network. The pole-zero analysis is performed to validate the slope offset technique and to provide a practical design guideline. Due to the wideband performance of flat gain and group delay, the proposed LNA is suitable for UWB communication or radar applications that demand an instantaneously wide fractional bandwidth.</t>
  </si>
  <si>
    <t>An 18–32 GHz ultra wideband low-noise amplifier with a low variation of group delay</t>
  </si>
  <si>
    <t>Bohee Seo, Sanggeun Jeon</t>
  </si>
  <si>
    <t>A highly linear low-noise amplifier (LNA) based on a commercial Gallium Nitride (GaN) high electron mobility transistor (HEMT) technology is presented. The amplifier can be operated at three frequency bands of 1, 2 and 3 GHz. The maximum measured gain is 31 dB at 1GHz and the output referred third-order intercept point (OIP3) is constant for all three frequency bands and equal to 41±1 dBm at a power consumption of 1.2 W. A minimum noise figure (NF) of 0.5 dB is measured for the amplifier at the same bias point demonstrating the simultaneous linearity and low noise performance. The presented performance together with the reasonably low power consumption is outstanding in comparison with recently published amplifiers in GaN technology and available commercial GaAs LNAs.</t>
  </si>
  <si>
    <t>Highly linear 1–3 GHz GaN HEMT low-noise amplifier</t>
  </si>
  <si>
    <t>Pirooz Chehrenegar, Morteza Abbasi, Jan Grahn, Kristoffer Andersson</t>
  </si>
  <si>
    <t>A high performance W-band LNA is designed in 0.13 μm SiGe BiCMOS technology by firstly deploying SC-GCPW input matching network, shielded cascode stage and partition layout. Noise figure of the LNA, parasitic coupling of the cascode stage and reverse isolation are considerably reduced. The LNA achieved a measured gain of above 45 dB, noise figure of 7.2 dB at 95 GHz and 19 mW power consumption in 0.13 μm BiCMOS which is the state-of-the-art on silicon. This LNA performance could help the W-band total power radiometer obtain a 0.5-K NEΔT.</t>
  </si>
  <si>
    <t>Passives design for a high performance W-band amplifier</t>
  </si>
  <si>
    <t>07/06/2013</t>
  </si>
  <si>
    <t>Xiaojun Bi, Yongxin Guo, Yong-Zhong Xiong, et.al</t>
  </si>
  <si>
    <r>
      <t>In this paper, a g </t>
    </r>
    <r>
      <rPr>
        <sz val="8"/>
        <color rgb="FF333333"/>
        <rFont val="Calibri"/>
        <family val="2"/>
        <scheme val="minor"/>
      </rPr>
      <t>m</t>
    </r>
    <r>
      <rPr>
        <sz val="11"/>
        <color rgb="FF333333"/>
        <rFont val="Calibri"/>
        <family val="2"/>
        <scheme val="minor"/>
      </rPr>
      <t> -boosted low-noise amplifier (LNA) with a low-voltage architecture is proposed to enhance gain and noise performance under low-power operation. It is designed at 5-GHz using 0.18-μm CMOS process. By employing current-reused, and forward-body-bias techniques, LNA can operate at a reduced supply voltage with micro-watt dc power consumption. In addition, g </t>
    </r>
    <r>
      <rPr>
        <sz val="8"/>
        <color rgb="FF333333"/>
        <rFont val="Calibri"/>
        <family val="2"/>
        <scheme val="minor"/>
      </rPr>
      <t>m</t>
    </r>
    <r>
      <rPr>
        <sz val="11"/>
        <color rgb="FF333333"/>
        <rFont val="Calibri"/>
        <family val="2"/>
        <scheme val="minor"/>
      </rPr>
      <t> -boosted topology using transformer-coupling is added to the LNA to further improve gain and to reduce noise factor simultaneously. Based on aforementioned techniques, the 5-GHz LNA presents a gain of 10.0 dB and a noise figure of 4.8 dB at 4.8 GHz. Under a supply voltage of 0.6 V, the dc power consumption is 336 μW.</t>
    </r>
  </si>
  <si>
    <t>A 0.6-V 336-μW 5-GHz LNA using a low-voltage and gain-enhancement architecture</t>
  </si>
  <si>
    <t>Chia-Lin Hsieh, Ming-Hang Wu, Jen-Hao Cheng, et.al</t>
  </si>
  <si>
    <t>In this paper, the authors present for the first time a 94 GHz flip-chip packaged SiGe BiCMOS LNA on a liquid-crystal-polymer (LCP) substrate. The LNA is a custom design in a 0.13 μm SiGe BiCMOS process, and features a four stage common-emitter topology. The measured on-wafer gain equals 17.2 dB and the noise figure is below 7 dB at 94 GHz with a 3dB bandwidth of 18 GHz and a power consumption of 24 mW. For the packaging, the flip-chip technique is utilized on a flexible, light-weight LCP substrate material. Measured results show that the packaged LNA provides 15.9 dB gain (at the same power consumption), only 1.3 dB lower than the on-wafer case. These results demonstrate the suitability of the LCP as a substrate material, and the low-loss potential of the flip-chip packaging technique for millimeter-wave applications.</t>
  </si>
  <si>
    <t>A 94 GHz flip-chip packaged SiGe BiCMOS LNA on an LCP substrate</t>
  </si>
  <si>
    <t>Wasif Tanveer Khan, A.Cagrı Ulusoy, Mehmet Kaynak, Herman Schumacher</t>
  </si>
  <si>
    <t>Robust X-band low noise limiting amplifiers</t>
  </si>
  <si>
    <t>GaN technology is today well established for power amplifiers but also for robust receiver components. In this paper we present the design and measurement results of two different robust LNAs with different limiter functionalities included. One version with 1.6 dB noise figure which survives 4W input power and with the included current limiter the maximum output power is only 17dBm. The other version with input limiter survives more than 10W input power with a noise figure of 2 dB.</t>
  </si>
  <si>
    <t>Patrick Schuh, Rolf Reber</t>
  </si>
  <si>
    <t>*(This paper presents three LNA's)</t>
  </si>
  <si>
    <t>A 57 to 66 GHz low noise amplifier (LNA) with built-in linearizer using 65-nm CMOS technology is presented in this paper. The source-sensed derivative superposition technique is applied to improve the linearity of the LNA at high frequency. The measurement results show that linearized LNA achieves 24 dB gain and 4.5 dB noise figure in the band of interest. Based on the proposed methodology, the improvement of IM3 is 14 dB at 60 GHz. This high linearity LNA is suitable for high data rate transmission application.</t>
  </si>
  <si>
    <t>A 60 GHz low noise amplifier with built-in linearizer</t>
  </si>
  <si>
    <t>Chun-An Hsieh, Yu-Hsuan Lin, Yuan-Hung Hsiao, Huei Wang</t>
  </si>
  <si>
    <t>In this paper, the authors present a monolithically integrated W-band low-noise-amplifier realized in an 0.13μm SiGe BiCMOS technology. The design utilizes a two-stage cascode topology, with inductive emitter degeneration for simultaneous noise and power matching. The paper identifies critical design parameters, and presents careful modeling results. Measurement results show excellent agreement with the simulations, and the circuit achieves 20 dB gain and 4 dB noise figure up to 110 GHz. To the authors' knowledge, this demonstrates the best noise performance up to date on a silicon platform in this frequency range.</t>
  </si>
  <si>
    <t>A 110 GHz LNA with 20dB gain and 4dB noise figure in an 0.13μm SiGe BiCMOS technology</t>
  </si>
  <si>
    <t>A. C¸ agrı Ulusoy˘, Mehmet Kaynak, Vaclav Valenta ´, et.al</t>
  </si>
  <si>
    <r>
      <t>A novel wideband dual-feedback low noise amplifier (LNA) implemented in standard 0.18 μm CMOS process is proposed in this paper. The proposed dual feedback topology can improve the total noise contribution for LNA design. By exploiting the gate-inductive bandwidth gain-enhancement (GIBE) technique, the LNA can extend the more than 30 % bandwidth and enhance gain an overall bandwidth of DC to 5 GHz. Besides, the fabricated LNA with the current-mirror circuit consumes a power of 10.4 mW. The proposed LNA achieves an average gain of 13.9 dB and a minimum noise figure (NF) of 2.76 dB from DC to 5 GHz. The LNA achieves a good figure-of-merit (FoM) of 3.8. The chip area is 0.45 mm </t>
    </r>
    <r>
      <rPr>
        <sz val="8"/>
        <color rgb="FF333333"/>
        <rFont val="Calibri"/>
        <family val="2"/>
        <scheme val="minor"/>
      </rPr>
      <t>2</t>
    </r>
    <r>
      <rPr>
        <sz val="11"/>
        <color rgb="FF333333"/>
        <rFont val="Calibri"/>
        <family val="2"/>
        <scheme val="minor"/>
      </rPr>
      <t> with all pads and dummy blocks.</t>
    </r>
  </si>
  <si>
    <t>A low-power wideband dual-feedback LNA exploiting the gate-inductive bandwidth/gain-enhancement technique</t>
  </si>
  <si>
    <t>Hung-Ting Chou, Shin-Wei Chen, Hwann-Kaeo Chiou</t>
  </si>
  <si>
    <t>Two millimeter-wave monolithic integrated circuit (MMIC) low-noise amplifiers (LNA), operating in the frequency range between 58 and 110 GHz and 74 and 110 GHz, respectively, are presented. The W-band amplifiers employ a three-stage design in a 50nm InGaAs mHEMT technology and were optimized for minimum DC power consumption, using 2×10 and 2×5 μm transistors. For optimum bias conditions the first amplifier achieved a linear gain of more than 16.4dB and a noise figure of less than 2.8 dB over the whole W-band, whereas the second amplifier operates in the frequency range between 80 to 110 GHz with a linear gain of over 14.5 dB and a noise figure of less than 3.3 dB. The best achieved noise figure is 2.1dB and the maximum gain is about 23dB. LNA 1 yields a noise figure of 3 dB and a gain of 8.9dB at an operation frequency of 106 GHz, whilst only consuming 0.9mW of DC power.</t>
  </si>
  <si>
    <t>Comparison of two W-band low-noise amplifier MMICs with ultra low power consumption based on 50nm InGaAs mHEMT technology</t>
  </si>
  <si>
    <t>Fabian Thome, Hermann Massler, Sandrine Wagner, et.al</t>
  </si>
  <si>
    <t>Cost effective E-band Low Noise Amplifier (LNA) using a three-dimensional (3-D) MMIC technology and wafer level chip size package (WLCSP) technology is presented. The reflow-soldering compatibility of the technology makes MMIC assembly on PCB very simple and significantly contributes to mass production of receivers and transmitters. The applied 3-D MMIC design effectively shrinks the die sizes. The newly designed LNA exhibited an on-chip gain of 22.5 ± 1 dB and a noise figure of 4.0 ± 0.3 dB in the full E-band. The measurements of the assembled LNA, including extended transmission lines on PCB, exhibited a gain of 21 ± 1 dB and a noise figure of 4.6 ± 0.2 dB. Eliminating the extended transmission line losses of about 0.3 dB × 2, the noise figure increase due to assembly was only 0.3 dB. These results show that the LNA using the 3-D WLCSP technology is valuable for E-band application in terms of not only cost reduction but also practical performance achievement.</t>
  </si>
  <si>
    <t>A full E-band low noise amplifier realized by using novel wafer-level chip size package technology suitable for reliable flip-chip reflow-soldering</t>
  </si>
  <si>
    <t>06/06/2014</t>
  </si>
  <si>
    <t>T Kawasaki, M Kubota, K. Tsukashima, et.al</t>
  </si>
  <si>
    <t>This work discusses MMICs for the realization of spaceborn multi-Gigabit satellite communication systems. A broadband low-noise amplifier, based on a 50 nm GaAs mHEMT technology, has been developed for Q-band low-noise receivers. The amplifier shows a small-signal gain of 27.5 dB with a gain flatness of ± 1.2 dB and a noise figure below 2 dB over the entire targeted frequency range between 30 and 50 GHz. For the next generation of E-band transmitter modules, a GaN-based high-power amplifier with a small-signal gain above 15 dB between 70-75 GHz and a saturated output power exceeding 28 dBm at 74 GHz has been developed.</t>
  </si>
  <si>
    <t>Q- and E-band amplifier MMICs for satellite communication</t>
  </si>
  <si>
    <t>Dirk Schwantuschke, Beatriz Aja, Matthias Seelmann-Eggebert, et.al</t>
  </si>
  <si>
    <t>Bypass low-noise amplifier (LNA) can be used in the base station receiver to improve the dynamic range. It is difficult to achieve both ultra low noise at LNA mode and maintain good linearity at bypass mode simultaneously. In this work, we present the best performance bypass LNA with 0.5 dB of noise figure (NF), 20 dB of gain at 1.95 GHz and high OIP3 of 35 dBm for both LNA and bypass mode. Fabricated in 0.25um GaAs E/D pHEMT process, the LNA is based on enhancement mode pHEMT cascode topology and the switches are designed with the depletion mode pHEMT.</t>
  </si>
  <si>
    <t>1.5–2.7 GHz ultra low noise bypass LNA</t>
  </si>
  <si>
    <t>Jingshi Yao, Xiaopeng Sun, Barry Lin</t>
  </si>
  <si>
    <r>
      <t>This paper presents the development of high-gain, wide-bandwidth, W-band LNA integrated circuits utilizing a novel 0.25 μm InP/Si BiCMOS process with Ft/Fmax of 330/270 GHz. A 4-stage microstrip LNA achieves a minimum NF of 5.7 dB at 92 GHz and remains less than 7.2 dB (6.4 dB avg.) across a 75-100 GHz bandwidth. The LNA also exhibits a peak gain of 27.7 dB, a 3-dB bandwidth of 18 GHz (80-98 GHz), gain &gt; 20 dB over 75-110 GHz, while consuming only 19.2 mW of DC power from a 1.2V supply. Additionally, individual bias control for each device has been incorporated to vary gain, including a version with two 3-bit current steering DACs to control base currents. The 0.42 mm </t>
    </r>
    <r>
      <rPr>
        <sz val="8"/>
        <color rgb="FF333333"/>
        <rFont val="Calibri"/>
        <family val="2"/>
        <scheme val="minor"/>
      </rPr>
      <t>2</t>
    </r>
    <r>
      <rPr>
        <sz val="11"/>
        <color rgb="FF333333"/>
        <rFont val="Calibri"/>
        <family val="2"/>
        <scheme val="minor"/>
      </rPr>
      <t> (w/o pads) LNA is suitable for many emerging W-band applications including radar, communications, and imaging and provides superior performance compared to published LNAs developed in available SiGe BiCMOS technologies.</t>
    </r>
  </si>
  <si>
    <t>A wide-bandwidth W-band LNA in InP/Si BiCMOS technology</t>
  </si>
  <si>
    <t>P. Watson, A. Mattamana, R. Gilbert, et.al</t>
  </si>
  <si>
    <r>
      <t>In this paper, a V-band ultra-low power Low Noise Amplifier (LNA) with enhanced bandwidth (BW) is presented. A positively coupled cascode transformer (PCCT), formed using cascode inductors at the emitter of the cascode transistors, is used to couple the signal between the first and second stage. Using an optimum coupling factor of 0.23 for the PCCT, a bandwidth improvement of 15 % was seen during simulation. The prototype was implemented using 0.13 μm SiGe BiCMOS technology. Measurements show a peak gain of 13.5 dB, BW &gt; 8 GHz, Noise Figure (NF) of 4.4 dB and an input 1-dB compression point (P</t>
    </r>
    <r>
      <rPr>
        <sz val="8"/>
        <color rgb="FF333333"/>
        <rFont val="Calibri"/>
        <family val="2"/>
        <scheme val="minor"/>
      </rPr>
      <t>in,1dB</t>
    </r>
    <r>
      <rPr>
        <sz val="11"/>
        <color rgb="FF333333"/>
        <rFont val="Calibri"/>
        <family val="2"/>
        <scheme val="minor"/>
      </rPr>
      <t> ) of -19 dBm. The LNA occupies a core area of only 0.05 mm </t>
    </r>
    <r>
      <rPr>
        <sz val="8"/>
        <color rgb="FF333333"/>
        <rFont val="Calibri"/>
        <family val="2"/>
        <scheme val="minor"/>
      </rPr>
      <t>2</t>
    </r>
    <r>
      <rPr>
        <sz val="11"/>
        <color rgb="FF333333"/>
        <rFont val="Calibri"/>
        <family val="2"/>
        <scheme val="minor"/>
      </rPr>
      <t> and consumes 3.7 mA from a 1.3 V supply.</t>
    </r>
  </si>
  <si>
    <t>A 4.8 mW, 4.4 dB NF, wideband LNA using positively coupled transformer for V-band applications</t>
  </si>
  <si>
    <t>Pawan Agarwal, Suman P. Sah, Deukhyoun Heo</t>
  </si>
  <si>
    <t>A 50nm MHEMT millimeter-wave MMIC low noise amplifier with state-of-the-art performance is reported. The 3-stage LNA exhibits on-wafer noise figure (NF) as low as 1.6dB with 25dB gain at 80GHz, and also shows unprecedented wideband performance, with 20dB minimum gain across the 30-100GHz band and NF &lt;;2.5dB over the 43-90GHz band. An LNA packaged in a WR-12 module has flange NF of 2.0dB over 74-80GHz and NF &lt;;2.6dB with 27 ± 2dB gain across the full 60-90GHz waveguide band.</t>
  </si>
  <si>
    <t>A 50nm MHEMT millimeter-wave MMIC LNA with wideband noise and gain performance</t>
  </si>
  <si>
    <t>Phillip M. Smith, Michael Ashman, Dong Xu, et.al</t>
  </si>
  <si>
    <t>A compact WR-1.5 (500-750 GHz) low-noise amplifier (LNA) circuit has been developed, based on a grounded coplanar waveguide (GCPW) technology utilizing 20 nm metamorphic high electron mobility transistors (mHEMTs). The realized six-stage LNA TMIC achieved a maximum gain of 15.4 dB at 576 GHz and more than 10 dB in the frequency range from 555 to 619 GHz. For low-loss packaging of the circuit, a waveguide-to-microstrip transition has been fabricated on a 20 ¼m thick GaAs substrate, demonstrating an insertion loss of only 1 dB between 500 and 720 GHz. The realized LNA module achieved a small-signal gain of 14.1 dB at 600 GHz and a room temperature (T = 293 K) noise figure of 15 dB at the frequency of operation.</t>
  </si>
  <si>
    <t>A 600 GHz low-noise amplifier module</t>
  </si>
  <si>
    <t>A. Tessmann, A. Leuther, H. MassIer, et.al</t>
  </si>
  <si>
    <r>
      <t>This paper presents a W-band LNA implemented in a 90 nm SiGe BiCMOS technology. The LNA achieves a maximum gain of 34 dB and a minimum NF of 3.5 dB at 80 GHz with greater than 25 dB gain and less than 4.5 dB NF over the full W-band. Input and output return losses are greater than 10 dB from 78-149 GHz. The circuit nominally operates from a 1.2 V supply while consuming 15.6 mW of DC power. Due to the low DC resistance presented to the base, the LNA can be operated above BV </t>
    </r>
    <r>
      <rPr>
        <sz val="8"/>
        <color rgb="FF333333"/>
        <rFont val="Calibri"/>
        <family val="2"/>
        <scheme val="minor"/>
      </rPr>
      <t>CEO</t>
    </r>
    <r>
      <rPr>
        <sz val="11"/>
        <color rgb="FF333333"/>
        <rFont val="Calibri"/>
        <family val="2"/>
        <scheme val="minor"/>
      </rPr>
      <t> for an IP </t>
    </r>
    <r>
      <rPr>
        <sz val="8"/>
        <color rgb="FF333333"/>
        <rFont val="Calibri"/>
        <family val="2"/>
        <scheme val="minor"/>
      </rPr>
      <t>1dB</t>
    </r>
    <r>
      <rPr>
        <sz val="11"/>
        <color rgb="FF333333"/>
        <rFont val="Calibri"/>
        <family val="2"/>
        <scheme val="minor"/>
      </rPr>
      <t> of -21 dBm and a P </t>
    </r>
    <r>
      <rPr>
        <sz val="8"/>
        <color rgb="FF333333"/>
        <rFont val="Calibri"/>
        <family val="2"/>
        <scheme val="minor"/>
      </rPr>
      <t>SAT</t>
    </r>
    <r>
      <rPr>
        <sz val="11"/>
        <color rgb="FF333333"/>
        <rFont val="Calibri"/>
        <family val="2"/>
        <scheme val="minor"/>
      </rPr>
      <t> as high as +8.5 dBm. To the authors' best knowledge, this work demonstrates the lowest NF achieved at W-band by an LNA in any silicon-based technology to date.</t>
    </r>
  </si>
  <si>
    <t>A high gain, W-band SiGe LNA with sub-4.0 dB noise figure</t>
  </si>
  <si>
    <t>Peter Song, Ahmet Cagri Ulusoy, Robert L. Schmid, John D. Cressler</t>
  </si>
  <si>
    <t>This paper presents a 20 GHz low noise amplifier (LNA) with notch filtering from 27.5 GHz to 31 GHz in a 0.25 μm SiGe:C BiCMOS technology. Notch filters are proposed to be implemented at different stages to have minor impact on the noise figure (NF), while achieving high attenuation around 30 GHz. In comparison with a reference LNA without filtering, it achieves overall filtering of more than -30 dB from 27.5 GHz to 31 GHz, with a NF of 1.9 dB degraded by only 0.1 dB to 0.4 dB. More than 17 dB improvement is achieved on the gain compression and triple beat IIP3 in presence of high power blocker. Besides, both LNA's achieve best NF to-date with high overall performance at K-band in silicon technologies.</t>
  </si>
  <si>
    <t>A 20 GHz 1.9 dB NF LNA with distributed notch filtering for VSAT applications</t>
  </si>
  <si>
    <t xml:space="preserve">Chuang Lu, Marion K. Matters-Kammerer, Reza Mahmoudi, Peter G.M. Baltus </t>
  </si>
  <si>
    <t>22/05/2015</t>
  </si>
  <si>
    <t>A robust two-stage low-noise amplifier based on GaN technology is presented. The MMIC LNA is realized using stacked transistors in the first stage to obtain high ruggedness. The LNA survived a record value of 43 dBm of input power at 5 GHz measured in a coaxial test fixture without any visible degradation of the transistors. The results prove that the new stacked architecture allows the LNA to withstand twice the CW input power expected for the conventional topology.</t>
  </si>
  <si>
    <t>Robust stacked GaN-based low-noise amplifier MMIC for receiver applications</t>
  </si>
  <si>
    <t>Cristina Andrei, Olof Bengtsson, Ralf Doerner, et.al</t>
  </si>
  <si>
    <t>This work proposes an asymmetric SPDT transmit/receive (T/R) switch co-optimized with a low-noise amplifier (LNA) tailored to X-band operation and implemented in an 0.13 μm silicon-germanium (SiGe) BiCMOS technology. The switch achieves very high power handling capability in transmit mode, while maintaining low insertion loss, by utilizing an asymmetric topology. In receive mode, low noise is obtained by integrating a lumped-element matching network used simultaneously as a noise matching network for the LNA, as well as a lumped λ/4 transformer for the SPDT switch isolation. In transmit mode, the SPDT-LNA results in 1.1 dB minimum insertion loss, 26 dB isolation, and 26.9 dBm output P1dB at 10 GHz. In receive mode, the measured minimum noise figure (NF) is 1.9 dB with 15 dB gain at 10 GHz. To the authors' best knowledge, these results are the lowest NF and highest transmit output P1dB for any Si-based SPDT-LNA currently reported at X-band, and represents a significant step towards the realization of next-generation of Si-based high performance T/R modules.</t>
  </si>
  <si>
    <t>Co-design of a SiGe BiCMOS X-band, asymmetric, low insertion loss, high power handling SPDT Switch and an Ultra Low Noise LNA for next-generation T/R modules</t>
  </si>
  <si>
    <t>27/05/2016</t>
  </si>
  <si>
    <t>Inchan Ju, Robert L. Schmid, Moon-Kyu Cho, et.al</t>
  </si>
  <si>
    <r>
      <t>A 33 to 41-GHz Low Noise Amplifier (LNA) with a 3-dB Noise Figure (NF) using 0.12-μm InAlGaN/GaN HEMT was developed. The LNA consists of a two-stage common-gate amplifier with current reuse topology in order to obtain a high gain with low power consumption. The developed LNA achieved 15-dB gain, and an input return loss of less than -10 dB. The measured NF was 3 dB, and the power consumption was 280 mW. The measured OIP3 and OP1dB were 24 dBm and 13 dBm at 38 GHz under a supply voltage of 20 V. The chip size of the LNA is 1 × 0.7 mm </t>
    </r>
    <r>
      <rPr>
        <sz val="8"/>
        <color rgb="FF333333"/>
        <rFont val="Calibri"/>
        <family val="2"/>
        <scheme val="minor"/>
      </rPr>
      <t>2</t>
    </r>
    <r>
      <rPr>
        <sz val="11"/>
        <color rgb="FF333333"/>
        <rFont val="Calibri"/>
        <family val="2"/>
        <scheme val="minor"/>
      </rPr>
      <t> .</t>
    </r>
  </si>
  <si>
    <t>Q-Band InAlGaN/GaN LNA using current reuse topology</t>
  </si>
  <si>
    <t>M. Sato, Y. Niida, Y. Kamada, et.al</t>
  </si>
  <si>
    <t>A room temperature LNA suitable for Square Kilometer Array band 1 (0.35-1.05 GHz) has been designed, fabricated and tested. The design is based on InP HEMTs, and focused on minimizing losses in the input matching network. Noise measurement methods in two different labs were used to confirm the 10 K noise temperature of the LNA. The gain was flat at 50 dB and the input and output return loss better than 10 dB in most of the band.</t>
  </si>
  <si>
    <t>10 K room temperature LNA for SKA band 1</t>
  </si>
  <si>
    <t>J. Schleeh, N. Wadefalk, P. Å. Nilsson, J. Grahn</t>
  </si>
  <si>
    <t>This paper presents a fully integrated 802.11a/n LNA. Unlike published SOI LNAs, Body-Contacted transistor has been chosen for its superior linearity performance. Traditional drawback of Body-Contacted transistor is Gate to Body parasitic capacitance impacting the NF; it has been minimized through optimized layout. The paper highlights Body-Contact interest before going through LNA optimization, including transistor sizing, high Q inductors implementation and layout. The LNA is processed in STMicroelectronics 0.13-μm partially-depleted silicon-on-insulator (PD-SOI) CMOS with 1.2V supply voltage. The LNA provides 12.7dBm IIP3 high linearity, for a 9dB gain, 1.34dB NF for 9.6mW power consumption.</t>
  </si>
  <si>
    <t>A 12.7dBm IIP3, 1.34dB NF, 4.9GHz–5.9GHz 802.11a/n LNA in 0.13 µm PD-SOI CMOS with Body-Contacted transistor</t>
  </si>
  <si>
    <t>R. Paulin, P. Cathelin, G. Bertrand, et.al</t>
  </si>
  <si>
    <t>09/06/2017</t>
  </si>
  <si>
    <t>D-band low-noise amplifier MMIC with 50 % bandwidth and 3.0 dB noise figure in 100 nm and 50 nm mHEMT technology</t>
  </si>
  <si>
    <t>We present the development of a wideband low-noise amplifier MMIC in the D-band with a smart combination of coplanar transmission lines and active devices to minimize noise figure. The identical three-stage LNA has been realized in metamorphic HEMT technologies with 100 nm and 50 nm gate length. The 50 nm LNA MMIC achieves a linear gain of 30.8 dB together with a bandwidth of 67 GHz up to 164 GHz and a noise figure of 3.0 dB. The performance of 100 nm LNA is slightly worse.</t>
  </si>
  <si>
    <t>Rainer Weber, Hermann Massler, Arnulf Leuther</t>
  </si>
  <si>
    <t>An original silicon-integrated dual-band bandpass filter for Global-Navigation-Satellite-System (GNSS) bands is presented. The engineered filtering architecture consists of a two-path signal-interference transversal filtering section (TFS) made up of a quadrature power coupler that is arranged in reflection mode. It allows a sharp-rejection dual-passband filtering response with out-of-band transmission zeros (TZs) to be obtained through constructive and destructive feedforward signal-combination effects that take place between the two electrical paths of the TFS. Furthermore, to counteract the losses inherent to the integrated lumped-element realization, compensated active inductors are used in the TFS stubs. For experimental validation, a low-noise-amplifier-(LNA)+filter module based on the conceived approach is designed with QUBIC4XI 0.25μm BiCMOS process from NXP technology, fabricated, and tested. This circuit, which operates on the two spectral bands utilized by the GNSS system (1215-1300 MHz and 1559-1610 MHz), features measured in-band power gain and noise figure respectively equal to 14 dB and 2 dB with a power consumption of 18 mW. To the best of authors' knowledge, it is believed to represent the first practical realization of a pure signal-interference dual-passband filter in integrated technology.</t>
  </si>
  <si>
    <t>Silicon-integrated signal-interference dual-band bandpass filter for GNSS application</t>
  </si>
  <si>
    <t>Mohammed Adnan Addou, Julien Lintignat, Roberto G´omez-Garc´ıa, et.al</t>
  </si>
  <si>
    <t>This work presents a 60 GHz two-stage low-noise amplifier (LNA) without the use of a base inductor. A common emitter (CE) stage followed by a cascode (CC) stage is chosen to achieve a low noise figure (NF) with high gain. The LNA is designed in the Jazz SBC18H3 process technology, exhibits 15 dB gain with a 3-dB bandwidth of 14 GHz (52-66 GHz), has a minimum NF of 3.3 dB and an input Pids of -13.5 dBm ±0.5 dB with 19.6 mW of power consumption. A detailed set of experiments are presented to eliminate the uncertainties and errors, such as ENR data and measurement components, in the noise figure measurement set-up at mm-wave frequencies.</t>
  </si>
  <si>
    <t>A wideband 60 GHz LNA with 3.3 dB minimum noise figure</t>
  </si>
  <si>
    <t>Samet Zihir, Gabriel M. Rebeiz</t>
  </si>
  <si>
    <r>
      <t>Based on two low-noise amplifier (LNA) millimeter-wave integrated circuits (MMICs), this paper reports on a comparison between a 35-nm and a 50-nm gate-length metamorphic high-electron-mobility transistor technology. The LNA targets applications in an extended W-band with an operating frequency between 67-116 GHz. Both MMICs yield an |S</t>
    </r>
    <r>
      <rPr>
        <sz val="8"/>
        <color rgb="FF333333"/>
        <rFont val="Calibri"/>
        <family val="2"/>
        <scheme val="minor"/>
      </rPr>
      <t>21</t>
    </r>
    <r>
      <rPr>
        <sz val="11"/>
        <color rgb="FF333333"/>
        <rFont val="Calibri"/>
        <family val="2"/>
        <scheme val="minor"/>
      </rPr>
      <t>| of at least 20 dB for more than an octave bandwidth. The average|S</t>
    </r>
    <r>
      <rPr>
        <sz val="8"/>
        <color rgb="FF333333"/>
        <rFont val="Calibri"/>
        <family val="2"/>
        <scheme val="minor"/>
      </rPr>
      <t>21</t>
    </r>
    <r>
      <rPr>
        <sz val="11"/>
        <color rgb="FF333333"/>
        <rFont val="Calibri"/>
        <family val="2"/>
        <scheme val="minor"/>
      </rPr>
      <t>| of the 35-nm (LNA 1) and 50-nm LNA (LNA 2) is 26.2 dB and 25 dB, respectively. The measured noise figure of LNA 1 and LNA 2 achieves an excellent average value for the entire W-band (75-110 GHz) of 1.9 dB and 2.1 dB, respectively. To the best of the authors' knowledge LNA 1 is the first MMIC which yields an average noise figure of 1.9 dB over the entire W-band.</t>
    </r>
  </si>
  <si>
    <t>Comparison of a 35-nm and a 50-nm gate-length metamorphic HEMT technology for millimeter-wave low-noise amplifier MMICs</t>
  </si>
  <si>
    <t>Fabian Thome, Arnulf Leuther, Hermann Massler, et.al</t>
  </si>
  <si>
    <t>An active mm-wave tag was manufactured in a 55nm SiGe BiCMOS process and operates in the 74-83GHz band with -62dBm input sensitivity. It features a 28dB gain LNA with 9dB noise figure, a wake-up detector, a BPSK modulator and two variable gain output stages each driving a separate transmit antenna in antiphase. The chip occupies 570μm × 880μm, consumes 25/10.8 mW in active/stand-by mode, and is flip-chip mounted on a 7mm × 7mm flexible interposer with two transmit and one receive antenna.</t>
  </si>
  <si>
    <t>A W-band active millimeter-wave tag IC with wake-up function</t>
  </si>
  <si>
    <t>M. Sadegh Dadash, Juergen Hasch, Pascal Chevalier, et.al</t>
  </si>
  <si>
    <r>
      <t>A ultra-wideband (UWB) low noise amplifier (LNA) was designed and fabricated in 0.18μm CMOS technology. The successful integration of current-reused and forward body biasing (FBB) techniques in a cascade amplifier can enable an aggressive scaling of the supply voltages, V </t>
    </r>
    <r>
      <rPr>
        <sz val="8"/>
        <color rgb="FF333333"/>
        <rFont val="Calibri"/>
        <family val="2"/>
        <scheme val="minor"/>
      </rPr>
      <t>dd</t>
    </r>
    <r>
      <rPr>
        <sz val="11"/>
        <color rgb="FF333333"/>
        <rFont val="Calibri"/>
        <family val="2"/>
        <scheme val="minor"/>
      </rPr>
      <t> and Vg1 to 1.0V and 0.53V The low voltage feature from FBB leads to more than 50% saving of power dissipation to 5.2mW. The measured power gain (S21) can reach 10.55~12.6dB and noise figure (NF50) is 3.2~3.95 dB through the UWB (3~10.5GHz). This UWB LNA with small chip area (0.69mm </t>
    </r>
    <r>
      <rPr>
        <sz val="8"/>
        <color rgb="FF333333"/>
        <rFont val="Calibri"/>
        <family val="2"/>
        <scheme val="minor"/>
      </rPr>
      <t>2</t>
    </r>
    <r>
      <rPr>
        <sz val="11"/>
        <color rgb="FF333333"/>
        <rFont val="Calibri"/>
        <family val="2"/>
        <scheme val="minor"/>
      </rPr>
      <t> ) provides a solution of low voltages, low power, and low cost.</t>
    </r>
  </si>
  <si>
    <t>Low voltage and low power UWB CMOS LNA using current-reused and forward body biasing techniques</t>
  </si>
  <si>
    <t>Jyh-Chyurn Guo, Ching-Shiang Lin, Yu-Tang Liang</t>
  </si>
  <si>
    <t>A WR-3 (220-330 GHz) low-noise amplifier (LNA) circuit has been developed for use in next-generation high resolution imaging applications and ultra-high capacity communication links. The submillimeter-wave monolithic integrated circuit (S-MMIC) was realized by using a 35 nm InAlAs/InGaAs based metamorphic high electron mobility transistor (mHEMT) technology in combination with grounded coplanar waveguide topology (GCPW) and cascode transistors, thus leading to a very low noise figure in combination with high gain and large operational bandwidth. The packaged LNA circuit achieved a maximum gain of 29 dB at 314 GHz and more than 26 dB in the frequency range from 252 to 330 GHz. An average room temperature (T = 293 K) noise figure of 6.5 dB was measured between 280 and 330 GHz. Furthermore, the LNA circuit has been used to realize a very compact WR-3 single-chip receiver module, demonstrating an average conversion gain of 6.5 dB and a noise figure of 8.6 dB at the frequency of operation.</t>
  </si>
  <si>
    <t>A 300 GHz low-noise amplifier S-MMIC for use in next-generation imaging and communication applications</t>
  </si>
  <si>
    <t>A. Tessmann, A. Leuther, S. Wagner, et.al</t>
  </si>
  <si>
    <r>
      <t>In this paper, we report a wide bandwidth low noise amplifier (LNA) fabricated in a 0.15 μm enhancement mode (Emode) gallium arsenide (GaAs) pseudomorphic high electron mobility transistor (pHEMT) process. The lna employs source degeneration along with a resistive feedback network to achieve low noise figure (NF) over a wide bandwidth. Experimental results show that the LNA exhibits a maximum gain of 30 dB and maintains higher than 25 dB from 14 to 31 GHz. The measured minimum NF is 1.25 dB along with 17.5 dBm output 1-dB compression point (OP1dB) and 28.5 dBm output 3 </t>
    </r>
    <r>
      <rPr>
        <sz val="8"/>
        <color rgb="FF333333"/>
        <rFont val="Calibri"/>
        <family val="2"/>
        <scheme val="minor"/>
      </rPr>
      <t>rd</t>
    </r>
    <r>
      <rPr>
        <sz val="11"/>
        <color rgb="FF333333"/>
        <rFont val="Calibri"/>
        <family val="2"/>
        <scheme val="minor"/>
      </rPr>
      <t> order intercept point (OIP3).</t>
    </r>
  </si>
  <si>
    <t>A 14–31 GHz 1.25 dB NF enhancement mode GaAs pHEMT low noise amplifier</t>
  </si>
  <si>
    <t>First demonstration of broadband W-band and D-band GaN MMICs for next generation communication systems</t>
  </si>
  <si>
    <t>High-performing GaN MMICs that can cover broadband applications at W and D-Band have been fabricated and tested. A five stage 60-105 GHz LNA has &gt;23 dB of gain across the band and a six stage D-Band LNA has 25 dB of gain from 110-170 GHz. A double balanced resistive FET mixer has -11 to -15 dB of conversion loss from 74-94 GHz. To our knowledge, these are the first reported GaN MMICs with high broadband gain at these frequencies.</t>
  </si>
  <si>
    <t>Ara Kurdoghlian, Harris Moyer, Hasan Sharifi, et.al</t>
  </si>
  <si>
    <t>D-band Dicke-radiometer in 90 nm SiGe BiCMOS technology</t>
  </si>
  <si>
    <t>This paper presents the design and characterization results of a calibrated passive radiometer (Dicke-radiometer) operating in the D-band frequency range and realized in an advanced 90 nm SiGe BiCMOS technology. A single-pole double-throw (SPDT) switch is presented, utilizing PIN diodes, with a measured insertion loss of 2 dB and an isolation of 20 dB at 140 GHz. The LNA provides a gain of 30 dB with 3 dB bandwidth of 28 GHz and minimum noise figure of 6.2 dB. The square-law power detector achieves responsivity of 14.5 kV/W and noise equivalent power (NEP) &lt;;1.5 pW/VHz. The complete receiver attain peak responsivity of 8.6 MV/W and temperature resolution of 0.22 K (30 mS integration time) with 40 mW power consumption.</t>
  </si>
  <si>
    <t>Roee Ben Yishay, Danny Elad</t>
  </si>
  <si>
    <r>
      <t>In this paper, an 80 nm InGaAs MOSFET W-band MMIC low noise amplifier (LNA) is presented. The technology uses 4" GaAs substrates with a molecular beam epitaxy (MBE) grown metamorphic buffer to realize the InGaAs/InAlAs device heterostructure. For a 2 × 20 μm gate width transistor a transit frequency f </t>
    </r>
    <r>
      <rPr>
        <sz val="8"/>
        <color rgb="FF333333"/>
        <rFont val="Calibri"/>
        <family val="2"/>
        <scheme val="minor"/>
      </rPr>
      <t>T</t>
    </r>
    <r>
      <rPr>
        <sz val="11"/>
        <color rgb="FF333333"/>
        <rFont val="Calibri"/>
        <family val="2"/>
        <scheme val="minor"/>
      </rPr>
      <t> of 226 GHz was extrapolated. The transistors show a low g </t>
    </r>
    <r>
      <rPr>
        <sz val="8"/>
        <color rgb="FF333333"/>
        <rFont val="Calibri"/>
        <family val="2"/>
        <scheme val="minor"/>
      </rPr>
      <t>m</t>
    </r>
    <r>
      <rPr>
        <sz val="11"/>
        <color rgb="FF333333"/>
        <rFont val="Calibri"/>
        <family val="2"/>
        <scheme val="minor"/>
      </rPr>
      <t> dispersion of only 2 %. A two-stage cascode configuration is used for the W-band LNA circuit, which was processed in MOSFET and HEMT technology for comparison. The MOSFET LNA achieves a linear gain of more than 18 dB in the frequency range from 71 to 103 GHz with an associated noise figure between 3.3 and 4.5 dB. To the best of the authors knowledge, this is the first reported InGaAs MOSFET millimeter-wave MMIC.</t>
    </r>
  </si>
  <si>
    <t>80 nm InGaAs MOSFET W-band low noise amplifier</t>
  </si>
  <si>
    <t>Arnulf Leuther, Matthias Ohlrogge, Lukas Czornomaz, et.al</t>
  </si>
  <si>
    <t>An ultra-low-power 5-GHz low noise amplifier (LNA) for next generation radio astronomical receivers fabricated in 90-nm CMOS technology is presented in this paper. Different from most ultra-low-power LNAs, the proposed LNA reaches a fractional bandwidth of 43.6% by adopting several bandwidth enhancement techniques. This LNA achieves an average 16.2-dB small signal gain from 3.90 GHz to 6.08 GHz with only 742-μW dc power consumption. Meanwhile, an average noise figure of 3.2 dB is also measured within the bandwidth. Last but not least, the figure-of-merit (FOM) of this work is 17.5 GHz/mW, which shows competitiveness among published S band and C band ultra-low-power LNAs.</t>
  </si>
  <si>
    <t>A 0.38-V, Sub-mW 5-GHz Low Noise Amplifier with 43.6% Bandwidth for Next Generation Radio Astronomical Receivers in 90-nm CMOS</t>
  </si>
  <si>
    <t>15/06/2018</t>
  </si>
  <si>
    <t>Ying Chen, Yu-Hsuan Lin, Chau-Ching Chiong, Huei Wang</t>
  </si>
  <si>
    <t>A Compact 0.8 dB Low Noise and Self-packaged LNA using SISL Technology for 5 GHz WLAN Application</t>
  </si>
  <si>
    <t>This paper proposes a compact 5.15-5.85 GHz low noise amplifier (LNA) based on substrate integrated suspended line (SISL) platform, which has a 0.8 dB low noise figure (NF) at 5.5 GHz. Pseudomorphic high electron mobility transistor (pHEMT) ATF-36163 from Avago Technologies is adopted to realize the LNA prototype. Unlike the conventional microstrip line, the self- packaged structure with air cavities reduces the circuit size and fabrication cost. Meanwhile, it cuts down dielectric loss as well as field dispersion considerably. Thus noise from passive matching network is reduced. Taking the advantage of SISL, the LNA shows the merits of low noise, self-packaging, compact size and low cost.</t>
  </si>
  <si>
    <t>Zhengmin Ke, Shouxian Mou, Kaixue Ma, Fanyi Meng</t>
  </si>
  <si>
    <t>In this paper, we report on the first mm-wave GaN-based low-noise amplifier using a cascode configuration. This MMIC has a small-signal gain well above 30 dB and a noise figure in the range of 7.6 dB at 104 GHz. Moreover, the use of gallium nitride technology allows for achieving state-of-the-art saturated output power, up to 20.3 dBm or 1.3 W/mm at 115 GHz. To our knowledge, the measured gain, noise figure, and output power levels are the best among any of the GaN MMICs beyond 110 GHz reported to date.</t>
  </si>
  <si>
    <t>A Beyond 110 GHz GaN Cascode Low-Noise Amplifier with 20.3 dBm Output Power</t>
  </si>
  <si>
    <t>Rainer Weber, Maciej Ćwikliński, Sandrine Wagner, et.al</t>
  </si>
  <si>
    <t>07/06/2019</t>
  </si>
  <si>
    <t>This paper presents two 24 GHz low-noise amplifiers (LNA) using neutralization techniques. By mitigating the intrinsic gate-drain capacitance C gd , the neutralization techniques can reduce the nonlinearity contributions of the output second-order products, and boost gain. According to the closed-form expression of the input third-order intercept point (IIP 3 ), the linearity analysis is presented for design guidelines. The circuits are fabricated in 65 nm bulk CMOS technology. Experimental results show that the two LNAs achieve 23.5 dB and 21.3 dB gain, 3.4 dB and 3.7 dB noise figure, 16.5 dBm and 17 dBm output third-order intercept point (OIP 3 ), 12 mW and 18.5 mW power consumption, respectively.</t>
  </si>
  <si>
    <t>Design of 24 GHz High-Linear High-Gain Low-Noise Amplifiers Using Neutralization Techniques</t>
  </si>
  <si>
    <t>Yaoshun Ding, Soenke Vehring, Georg Boeck</t>
  </si>
  <si>
    <t>In this paper, the design, analysis, and room-temperature performance of two W-band LNA MMICs fabricated in two different technology variations are presented. The investigation demonstrates the noise improvement of the given 50-nm gate-length InGaAs mHEMT technology with reduced necessary drain currents. Therefore, a single-ended and balanced W-band LNA MMIC were designed, fabricated, and characterized. The amplifiers exhibit state-of-the-art noise temperatures with an average value for the single-ended LNA of 159 K (1.9 dB) with lowest values of 132 K (1.6 dB). Due to the technology investigation it was possible to reduce the noise temperature by about 15 K compared to the reference technology in combination with superior MMIC yield.</t>
  </si>
  <si>
    <t>W-Band LNA MMICs Based on a Noise-Optimized 50-nm Gate-Length Metamorphic HEMT Technology</t>
  </si>
  <si>
    <t>Fabian Thome, Arnulf Leuther, Felix Heinz, Oliver Ambacher</t>
  </si>
  <si>
    <t>MWCL</t>
  </si>
  <si>
    <t>07/11/2002</t>
  </si>
  <si>
    <t>Adaptive antenna receiver module for WLAN at C-band with low-power consumption</t>
  </si>
  <si>
    <t>A low-power consuming adaptive antenna receiver module at C-band for 802.11a and HIPERLAN is presented. The highly integrated GaAs microwave monolithic integrated circuit consists of low noise amplifiers, calibration switches and a vector modulator with 360/spl deg/ phase control and over 15 dB gain control. At 5.2 GHz, the module has a maximum gain of 12.5 dB, a noise figure of 2.7 dB, and a 1 dB output compression point of -7 dBm. The module draws only 2.3 mA up to 3.5 mA from a 2.7 V supply. Chip size is 1.9 mm /spl times/ 1.6 mm.</t>
  </si>
  <si>
    <t>Frank Ellinger, Werner Bächtold</t>
  </si>
  <si>
    <t>03/2003</t>
  </si>
  <si>
    <r>
      <t>This letter presents a 5.7 GHz 0.18 μm CMOS gain-controlled differential LNA for an IEEE 802.11a WLAN application. The differential LNA, fabricated with the 0.18 μm 1P6M standard CMOS process, uses a current-reuse technology to increase linear gain and save power consumption. The circuit measurement is performed using an FR-4 PCB test fixture. The LNA exhibits a noise figure of 3.7 dB, linear gain of 12.5 dB, P/sub 1dB/ of -11 dBm, and gain tuning range of 6.9 dB. The power consumption is 14.4 mW at V </t>
    </r>
    <r>
      <rPr>
        <sz val="8"/>
        <color rgb="FF333333"/>
        <rFont val="Calibri"/>
        <family val="2"/>
        <scheme val="minor"/>
      </rPr>
      <t>DD</t>
    </r>
    <r>
      <rPr>
        <sz val="11"/>
        <color rgb="FF333333"/>
        <rFont val="Calibri"/>
        <family val="2"/>
        <scheme val="minor"/>
      </rPr>
      <t> =1.8 V.</t>
    </r>
  </si>
  <si>
    <t>A 5.7-GHz 0.18-μm CMOS gain-controlled differential LNA with current reuse for WLAN receiver</t>
  </si>
  <si>
    <t>12/2003</t>
  </si>
  <si>
    <t>Che-Hong Liao, Huey-Ru Chuang</t>
  </si>
  <si>
    <t>Two K-Band low-noise amplifiers (LNAs) are designed and implemented in a standard 0.18 μm CMOS technology. The 24 GHz LNA has demonstrated a 12.86 dB gain and a 5.6 dB noise figure (NF) at 23.5 GHz. The 26 GHz LNA achieves an 8.9 dB gain at the peak gain frequency of 25.7 GHz and a 6.93 dB NF at 25 GHz. The input referred third-order intercept point (IIP3) is &gt;+2 dBm for both LNAs with a current consumption of 30 mA from a 1.8 V power supply. To our knowledge, the LNAs show the highest operation frequencies ever reported for LNAs in a standard CMOS process.</t>
  </si>
  <si>
    <t>K-band low-noise amplifiers using 0.18 μm CMOS technology</t>
  </si>
  <si>
    <t>03/2004</t>
  </si>
  <si>
    <t>Kyung-Wan Yu, Yin-Lung Lu, Da-Chiang Chang, et.al</t>
  </si>
  <si>
    <r>
      <t>The first antimonide-based compound semiconductor (ABCS) MMIC, a Ka-Band low-noise amplifier using 0.25-μm gate length InAs/AlSb metamorphic HEMTs, has been fabricated and characterized on a 75 μm GaAs substrate. The compact 1.1 mm </t>
    </r>
    <r>
      <rPr>
        <sz val="8"/>
        <color rgb="FF333333"/>
        <rFont val="Calibri"/>
        <family val="2"/>
        <scheme val="minor"/>
      </rPr>
      <t>2</t>
    </r>
    <r>
      <rPr>
        <sz val="11"/>
        <color rgb="FF333333"/>
        <rFont val="Calibri"/>
        <family val="2"/>
        <scheme val="minor"/>
      </rPr>
      <t> three-stage Ka-band LNA demonstrated an average of 2.1 dB noise-figure between 34-36 GHz with an associated gain of 22 dB. The measured dc power dissipation of the ABCS LNA was an ultra-low 1.5 mW per stage, or 4.5 mW total. This is less than one-tenth the dc power dissipation of a typical equivalent InGaAs/AlGaAs/GaAs HEMT LNA. Operation with degraded gain and noise figure at 1.1 mW total dc power dissipation is also verified. These results demonstrate the outstanding potential of ABCS HEMT technology for mobile and space-based millimeter-wave applications.</t>
    </r>
  </si>
  <si>
    <t>An ultra-low power InAs/AlSb HEMT Ka-band low-noise amplifier</t>
  </si>
  <si>
    <t>Jonathan B. Hacker, Joshua Bergman, Gabor Nagy, et.al</t>
  </si>
  <si>
    <t>04/2004</t>
  </si>
  <si>
    <t>A C-band low-noise amplifier (LNA) is designed and fabricated using GAN HEMT power devices. The one-stage amplifier has a measured noise figure of 1.6 dB at 6 GHz, with an associated gain of 10.9 dB and IIP3 of 13 dBm. it also exhibits broadband operation from 4-8 GHz with noise figure less than 1.9 dB. The circuit can endure up to 31 dBm power from the input port. Compared to circuits based on other material and technology, the circuit shows comparable noise figure with improved dynamic range and survivability.</t>
  </si>
  <si>
    <t>A C-band high-dynamic range GaN HEMT low-noise amplifier</t>
  </si>
  <si>
    <t>06/2004</t>
  </si>
  <si>
    <t>Hongtao Xu, Christopher Sanabria, Alessandro Chini, et.al</t>
  </si>
  <si>
    <t>A low-power low-noise amplifier (LNA) for ultra-wideband (UWB) radio systems is presented. The microwave monolithic integrated circuit (MMIC) has been fabricated using a commercial 0.25-μm silicon-germanium (SiGe) bipolar CMOS (BiCMOS) technology. The amplifier uses peaking and feedback techniques to optimize its gain, bandwidth and impedance matching. It operates from 3.4 to 6.9GHz, which corresponds with the low end of the available UWB radio spectrum. The LNA has a peak gain of 10dB and a noise figure less than 5dB over the entire bandwidth. The circuit consumes only 3.5mW using a 1-V supply voltage. A figure of merit (FoM) for LNAs considering bandwidth, gain, noise, power consumption, and technology is proposed. The realized LNA circuit is compared with other recently published low-power LNA designs and shows the highest reported FoM.</t>
  </si>
  <si>
    <t>A low supply voltage SiGe LNA for ultra-wideband frontends</t>
  </si>
  <si>
    <t>10/2004</t>
  </si>
  <si>
    <t>David Barras, Frank Ellinger, Heinz Jäckel, Walter Hirt</t>
  </si>
  <si>
    <t>02/2005</t>
  </si>
  <si>
    <t>03/2005</t>
  </si>
  <si>
    <t>11/04/2005</t>
  </si>
  <si>
    <r>
      <t>The first W-band antimonide based compound semiconductor low-noise amplifier has been demonstrated. The compact 1.4-mm </t>
    </r>
    <r>
      <rPr>
        <sz val="8"/>
        <color rgb="FF333333"/>
        <rFont val="Calibri"/>
        <family val="2"/>
        <scheme val="minor"/>
      </rPr>
      <t>2</t>
    </r>
    <r>
      <rPr>
        <sz val="11"/>
        <color rgb="FF333333"/>
        <rFont val="Calibri"/>
        <family val="2"/>
        <scheme val="minor"/>
      </rPr>
      <t> three-stage co-planar waveguide amplifier with 0.1-μm InAs/AlSb high electron mobility transistor devices is fabricated on a 100-μm GaAs substrate. Minimum noise-figure of 5.4dB with an associated gain of 11.1 dB is demonstrated at a total chip dissipation of 1.8 mW at 94 GHz. Biased for higher gain, 16/spl plusmn/1 dB is measured over a 77-103 GHz frequency band.</t>
    </r>
  </si>
  <si>
    <t>A W-band InAs/AlSb low-noise/low-power amplifier</t>
  </si>
  <si>
    <t>William R. Deal, Roger Tsai, Michael D. Lange, et.al</t>
  </si>
  <si>
    <r>
      <t>Three-dimensional (3-D) microwave monolithic integrated circuit (MMIC) technology, that incorporates slits in the ground metal, was applied to K-band low noise amplifier (LNA) and I/Q mixer to provide a low cost solution for various K-band receivers such as for P-to-P radio, WLAN, and UWB sensors. The LNA incorporates a quasicoplanar stub in the input-matching network, improving the noise figure by 1 dB. This low-noise amplifier (LNA) exhibits a noise figure of 2.5 dB with an associated gain of 16 dB and an area of 0.75×0.65 mm </t>
    </r>
    <r>
      <rPr>
        <sz val="8"/>
        <color rgb="FF333333"/>
        <rFont val="Calibri"/>
        <family val="2"/>
        <scheme val="minor"/>
      </rPr>
      <t>2</t>
    </r>
    <r>
      <rPr>
        <sz val="11"/>
        <color rgb="FF333333"/>
        <rFont val="Calibri"/>
        <family val="2"/>
        <scheme val="minor"/>
      </rPr>
      <t> . The I/Q resistive mixer incorporates a broadside 3-dB coupler with a 22-μm-wide slit in the ground metal beneath the coupled thin-film micro-strip (TFMS) lines (patent pending). The insertion loss of the 3 dB coupler is 0.75 dB. The I/Q mixer exhibits a conversion loss of less than 14 dB at 0.1-2.0GHz IF frequencies for 2-dBm local input power. These LNA and mixer potentially make it easier to integrate receiver functions in a die.</t>
    </r>
  </si>
  <si>
    <t>K-band 3-D MMIC low noise amplifier and mixer using TFMS lines with ground slit</t>
  </si>
  <si>
    <t>09/05/2005</t>
  </si>
  <si>
    <t>Tsuneo Tokumitsu, Belinda Piernas, Akio Oya, et.al</t>
  </si>
  <si>
    <t>An impedance bandwidth enhancement technique for tuning a low noise amplifier (LNA) is presented. With the use of the compact microstrip resonant cell (CMRC) at the emitter pins of a bipolar junction transistor (BJT), the impedance bandwidth achieved is about 95%, for a simple single stage amplifier design. The LNA attains a gain of about 15 dB; also a low noise figure of 1.16 dB at 2.1GHz and an average noise figure of about 1.5 dB across the operation bands have been achieved.</t>
  </si>
  <si>
    <t>A wideband low noise amplifiers design incorporating the CMRC circuitry</t>
  </si>
  <si>
    <t>Shing-Lung Steven Yang, Quan Xue, Kwai-Man Luk</t>
  </si>
  <si>
    <t>A 24-GHz low-noise amplifier (LNA) was designed and fabricated in a standard 0.18-μm CMOS technology. The LNA chip achieves a peak gain of 13.1 dB at 24 GHz and a minimum noise figure of 3.9 dB at 24.3 GHz. The supply voltage and supply current are 1 V and 14 mA, respectively. To the author's knowledge, this LNA demonstrates the lowest noise figure among the reported LNAs in standard CMOS processes above 20 GHz.</t>
  </si>
  <si>
    <t>A 24-GHz 3.9-dB NF low-noise amplifier using 0.18 μm CMOS technology</t>
  </si>
  <si>
    <t>Shih-Chieh Shin, Ming-Da Tsai, Ren-Chieh Liu, et.al</t>
  </si>
  <si>
    <t>A 20-GHz differential two-stage low-noise amplifier (LNA) is demonstrated in a foundry digital 130-nm CMOS technology with 8-metal layers. This LNA has 20-dB voltage gain and /spl sim/5.5-dB noise figure at 20GHz with 24-mW power consumption. The measured IP/sub 1 dB/ and IIP/sub 3/ are -11 dBm and -4dBm. Compared to the previously published bulk CMOS LNAs operating above 20GHz, this LNA has exceptionally low power and current consumption especially considering its differential topology and wide bandwidth.</t>
  </si>
  <si>
    <t>A power efficient differential 20-GHz low noise amplifier with 5.3-GHz 3-dB bandwidth</t>
  </si>
  <si>
    <t>Xiaoling Guo, Kenneth K. O</t>
  </si>
  <si>
    <t>06/09/2005</t>
  </si>
  <si>
    <t>A compact 2.4/5.2-GHz CMOS dual-band low-noise amplifier</t>
  </si>
  <si>
    <t>This letter presents a fully integrated 2.4/5.2-GHz dual-band low-noise amplifier (LNA) for WLAN applications. By switching the input transconductance and the output capacitance, the narrow-band gain and impedance matching are achieved at the 2.4-GHz and the 5.2-GHz frequency bands. Using a standard 0.18-μm CMOS process, a compact dual-band LNA with a chip size comparable to a single-band one is realized in the proposed topology for a minimum hardware cost. The fabricated circuit exhibits gains of 10.1dB and 10.9dB, and noise figures of 2.9dB and 3.7dB at the two frequency bands, respectively.</t>
  </si>
  <si>
    <t>Liang-Hung Lu, Hsieh-Hung Hsieh, Yu-Shun Wang</t>
  </si>
  <si>
    <t>We present the development of a low-power W-band low-noise amplifier (LNA) designed in a 200-nm InAs/AlSb high electron mobility transistor (HEMT) technology fabricated on a 50-mum GaAs substrate. A single-stage coplanar waveguide with ground (CPWG) LNA is described. The LNA exhibits a noise figure of 2.5 dB and an associated gain of 5.6 dB at 90 GHz while consuming 2.0 mW of total dc power. This is, to the best of our knowledge, the lowest reported noise figure for an InAs/AlSb HEMT LNA at 90 GHz. Biased for maximum gain, the single-stage amplifier presents 6.7-dB gain and an output 1-dB gain compression point (P1dB) of -6.7dBm at 90 GHz. The amplifier provides broad-band gain, greater than 5dB over the entire W-band</t>
  </si>
  <si>
    <t>Low-power W-band CPWG InAs/AlSb HEMT low-noise amplifier</t>
  </si>
  <si>
    <t>01/2006</t>
  </si>
  <si>
    <t>Paul J. Riemer, Benjamin R. Buhrow, Jonathan B. Hacker, et.al</t>
  </si>
  <si>
    <t>A fully integrated differential low-power low-noise amplifier (LNA) for ultrawideband (UWB) systems operating in the 3-5-GHz frequency range is presented. A two-section LC ladder input network is exploited to achieve excellent input match in a wideband fashion and to optimize the noise performance. Prototypes fabricated in a digital 0.13-mum complementary metal oxide semiconductor technology show the following performance: 9.5-dB peak power gain, 3.5-dB minimum noise figure, -6-dBm input-referred 1-dB compression point, and -0.8-dBm input-referred third-order intercept point, while drawing 11mA from a 1.5-V supply. The realized LNA is compared with previously reported LNAs tailored for the same frequency range</t>
  </si>
  <si>
    <t>A fully integrated differential CMOS LNA for 3-5-GHz ultrawideband wireless receivers</t>
  </si>
  <si>
    <t>03/2006</t>
  </si>
  <si>
    <t>Andrea Bevilacqua, Christoph Sandner, Andrea Gerosa, Andrea Neviani</t>
  </si>
  <si>
    <t>10/2005</t>
  </si>
  <si>
    <t>A 4-mW monolithic CMOS LNA at 5.7GHz with the gate resistance used for input matching</t>
  </si>
  <si>
    <t>Design and measured results of a fully integrated 5.7-GHz CMOS low-noise amplifier (LNA) is presented. To design this LNA, the parasitic input resistance of a metal-oxide-semiconductor field-effect transistor (MOSFET) is converted to 50/spl Omega/ by a simple L-C network, hence eliminating the need for source degeneration. It is shown, by means of compact expressions, that this matching method enhances the effective transconductance of the LNA by a factor that is inversely proportional to a MOSFET's input resistance. The effect of our proposed method on the noise figure (NF) of the LNA is also discussed. With an 11.45-dB power gain and a 3.4-dB NF at 4mW of dc power, the presented LNA achieves the best overall performance when compared with the most recently published LNAs.</t>
  </si>
  <si>
    <t>04/2006</t>
  </si>
  <si>
    <t>Saman Asgaran, M. Jamal Deen, Chih-Hung Chen</t>
  </si>
  <si>
    <t>A post-linearization technique for the cascode complementary metal oxide semiconductor (CMOS) low noise amplifier (LNA) is presented. The proposed method uses an additional folded cascode positive-channel metal oxide semiconductor field-effect transistor for sinking the third-order intermodulation distortion (IMD3) current generated by the common source stage, while minimizing the degradation of gain and noise figure. This technique is applied to enhance the linearity of CMOS LNA using 0.18-μm technology. The LNA achieved +13.3-dBm IIP3 with 12.8-dB gain, 1.4dB NF at 2GHz consuming 8mA from a 1.8-V supply.</t>
  </si>
  <si>
    <t>Post-linearization of cascode CMOS low noise amplifier using folded PMOS IMD sinker</t>
  </si>
  <si>
    <r>
      <t>A miniature Q-band low noise amplifier (LNA) using 0.13-μm standard mixed signal/radio frequency complementary metal-oxide-semiconductor (CMOS) technology is presented in this letter. This three-stage common source thin-film microstrip LNA achieves a peak gain of 20dB at 43GHz with a compact chip size of 0.525mm </t>
    </r>
    <r>
      <rPr>
        <sz val="8"/>
        <color rgb="FF333333"/>
        <rFont val="Calibri"/>
        <family val="2"/>
        <scheme val="minor"/>
      </rPr>
      <t>2</t>
    </r>
    <r>
      <rPr>
        <sz val="11"/>
        <color rgb="FF333333"/>
        <rFont val="Calibri"/>
        <family val="2"/>
        <scheme val="minor"/>
      </rPr>
      <t> . The 3-dB frequency bandwidth ranges from 34 to 44GHz and the minimum noise figure is 6.3dB at 41GHz. The LNA outperforms all the reported commercial standard CMOS Q-band LNAs, with the highest gain, highest output IP3, and smallest chip size.</t>
    </r>
  </si>
  <si>
    <t>A miniature Q-band low noise amplifier using 0.13-μm CMOS technology</t>
  </si>
  <si>
    <t>Jeng-Han Tsai, Wei-Chien Chen, To-Po Wang, et.al</t>
  </si>
  <si>
    <t>06/2006</t>
  </si>
  <si>
    <t>We demonstrate a low dc power consumption SiGe heterojunction bipolar transistor (HBT) low noise amplifier (LNA) for ultra-wideband (UWB) applications covering the 0.5GHz to 10GHz band. Using theoretical analysis, the dominant design factor for low group delay variation is identified and applied to UWB LNA design. The implemented SiGe LNA achieves a gain of 13dB, a minimum noise figure of 3.3dB, and an IIP3 of -7.5dBm between 0.5GHz and 10GHz, while consuming a dc power of only 9.6mW. This SiGe UWB LNA exhibits less than 22ps of uniform group delay variation over the entire band. To the best of the authors' knowledge, this is the first attempt to analyze the effects of group delay variation on the operation of wideband LNAs</t>
  </si>
  <si>
    <t>Theoretical Analysis of a Low Dispersion SiGe LNA for Ultra-Wideband Applications</t>
  </si>
  <si>
    <t>Yunseo Park, Chang-Ho Lee, John D. Cressler, Joy Laskar</t>
  </si>
  <si>
    <t>09/2006</t>
  </si>
  <si>
    <r>
      <t>A low-power, X-band low-noise amplifier (LNA) is presented. Implemented with 180 GHz silicon-germanium (SiGe) heterojunction bipolar transistors (HBTs), the circuit occupies 780times660 mum </t>
    </r>
    <r>
      <rPr>
        <sz val="8"/>
        <color rgb="FF333333"/>
        <rFont val="Calibri"/>
        <family val="2"/>
        <scheme val="minor"/>
      </rPr>
      <t>2</t>
    </r>
    <r>
      <rPr>
        <sz val="11"/>
        <color rgb="FF333333"/>
        <rFont val="Calibri"/>
        <family val="2"/>
        <scheme val="minor"/>
      </rPr>
      <t> . The LNA exhibits a gain of 11.0 dB at 9.5 GHz, a mean noise figure of 2.78 dB across X-band, and an input third-order intercept point of -9.1 dBm near 9.5 GHz, while dissipating only 2.5 mW. The low-power performance of this LNA, together with its natural total-dose radiation immunity, demonstrates the potential of SiGe HBT technology for near-space radar applications</t>
    </r>
  </si>
  <si>
    <t>A Low-Power,X-Band SiGe HBT Low-Noise Amplifier for Near-Space Radar Applications</t>
  </si>
  <si>
    <t>Wei-Min Lance Kuo, Ramkumar Krithivasan, Xiangtao Li, et.al</t>
  </si>
  <si>
    <t>A 2.4-GHz low noise amplifier (LNA) for the direct conversion application with high power gain, low supply voltage and plusmn4 KV human body model (HBM) electrostatic discharge (ESD) protection level implemented by a 90-nm RF CMOS technology is demonstrated. At 12.9 mA of current consumption with a supply voltage of 1.0 V, the LNA delivers a power gain of 21.9 dB and the noise figure (NF) of 3.2 dB, while maintaining the input and output return losses below -11 dB and -18.3 dB, respectively. The power gain and NF are only 0.2 dB lower and 0.64 dB higher than those of LNA without ESD protection</t>
  </si>
  <si>
    <t>A High Gain and Low Supply Voltage LNA for the Direct Conversion Application With 4-KV HBM ESD Protection in 90-nm RF CMOS</t>
  </si>
  <si>
    <t>Chieh-Pin Chang, Jian-An Hou, Jionguang Su, et.al</t>
  </si>
  <si>
    <t>11/2006</t>
  </si>
  <si>
    <t>*(this paper presents two LNA's)</t>
  </si>
  <si>
    <t>This paper presents the design of a low-power ultra-wideband low noise amplifier in 0.18-mum CMOS technology. The inductive degeneration is applied to the conventional distributed amplifier design to reduce the broadband noise figure under low power operation condition. A common-source amplifier is cascaded to the distributed amplifier to improve the gain at high frequency and extend the bandwidth. Operated at 0.6V, the integrated UWB CMOS LNA consumes 7mW. The measured gain of the LNA is 10dB with the bandwidth from 2.7 to 9.1GHz. The input and output return loss is more than 10dB. The noise figure of the LNA varies from 3.8 to 6.9dB, with the average noise figure of 4.65dB. The low power consumption of this work leads to the excellent figure of gain-bandwidth product (GBP) per milliwatt</t>
  </si>
  <si>
    <t>A 0.6-V Low Power UWB CMOS LNA</t>
  </si>
  <si>
    <t>03/2007</t>
  </si>
  <si>
    <t>Yueh-Hua Yu, Yi-Jan Emery Chen, Deukhyoun Heo</t>
  </si>
  <si>
    <t>A 3.1–10.6 GHz Ultra-Wideband CMOS Low Noise Amplifier With Current-Reused Technique</t>
  </si>
  <si>
    <t>A 3.1-10.6 GHz ultra-wideband (UWB) low noise amplifier (LNA) utilizing a current-reused technique and a simple high-pass input matching network is proposed. The implemented LNA presents a maximum power gain of 16dB, and a good input matching of 50Omega in the required band. An excellent noise figure (NF) of 3.1-6dB was obtained in the frequency range of 3.1-10.6GHz with a power dissipation of 11.9mW under a 1.8-V power supply. The proposed UWB LNA demonstrates the highest power gain and lowest NF among the published works in 0.18-mum CMOS technology</t>
  </si>
  <si>
    <t>Yi-Jing Lin, Shawn S. H. Hsu, Jun-De Jin, C. Y. Chan</t>
  </si>
  <si>
    <t>A 3.1-10.6 GHz ultra-wideband two-stage pseudomorphit high electron mobility transistor low noise amplifier is presented. The first stage of the amplifier employs a resistive shunt feedback topology and two T-network sections to provide wideband input matching to a 50-Omega antenna. The current-sharing dc bias topology is used to ensure the low power consumption under fixed 3-V battery operation. The amplifier exhibits state of the art performance consuming only 12.9mW of dc power with a power gain of 12.5dB, plusmn0.5dB gain flatness, and 3.4-4.0dB noise figure. Input match is better than -12.0dB, output match is better than -15dB, and group delay is 184pSplusmn28pS</t>
  </si>
  <si>
    <t>A 3.1–10.6 GHz Ultra-Wideband Low Noise Amplifier With 13-dB Gain, 3.4-dB Noise Figure, and Consumes Only 12.9 mW of DC Power</t>
  </si>
  <si>
    <t>Chao Fang, Choi L. Law, James Hwang</t>
  </si>
  <si>
    <t>04/2007</t>
  </si>
  <si>
    <t>A fully integrated low noise amplifier (LNA) suitable for ultra low voltage and ultra low power applications is proposed and demonstrated in 0.13 mum CMOS technology. In order to meet the requirement of ultra low voltage applications, a two-stage common-source configuration is employed. By using forward-body-biased metal oxide semiconductor field effect transistors, the proposed LNA can operate at 0.4 V supply voltage, successfully demonstrating the application potential of dynamic threshold voltage technology in the radio frequency region. The experimental results show that the proposed LNA has a 10.3 dB power gain and a 5.3 dB noise figure, while consuming only 1.03 mW dc power with an ultra low supply voltage of 0.4 V.</t>
  </si>
  <si>
    <t>A 0.4-V Low Noise Amplifier Using Forward Body Bias Technology for 5 GHz Application</t>
  </si>
  <si>
    <t>Dake Wu, Ru Huang, Waisum Wong, Yangyuan Wang</t>
  </si>
  <si>
    <t>07/2007</t>
  </si>
  <si>
    <r>
      <t>A wideband low-noise amplifier (LNA) with shunt resistive-feedback and series inductive-peaking is proposed for wideband input matching, broadband power gain and flat noise figure (NF) response. The proposed wideband LNA is implemented in 0.18-mum CMOS technology. Measured results show that power gain is greater than 10 dB and input return loss is below -10 dB from 2 to 11.5 GHz. The IIP3 is about +3 dBm, and the NF ranges from 3.1 to 4.1 dB over the band of interest. An excellent agreement between the simulated and measured results is found and attributed to less number of passive components needed in this circuit compared with previous designs. Besides, the ratio of figure-of- merit to chip size is as high as 190 (mW</t>
    </r>
    <r>
      <rPr>
        <sz val="8"/>
        <color rgb="FF333333"/>
        <rFont val="Calibri"/>
        <family val="2"/>
        <scheme val="minor"/>
      </rPr>
      <t>-1</t>
    </r>
    <r>
      <rPr>
        <sz val="11"/>
        <color rgb="FF333333"/>
        <rFont val="Calibri"/>
        <family val="2"/>
        <scheme val="minor"/>
      </rPr>
      <t> /mm</t>
    </r>
    <r>
      <rPr>
        <sz val="8"/>
        <color rgb="FF333333"/>
        <rFont val="Calibri"/>
        <family val="2"/>
        <scheme val="minor"/>
      </rPr>
      <t>2</t>
    </r>
    <r>
      <rPr>
        <sz val="11"/>
        <color rgb="FF333333"/>
        <rFont val="Calibri"/>
        <family val="2"/>
        <scheme val="minor"/>
      </rPr>
      <t> ) which is the best results among all previous reported CMOS-based wideband LNA.</t>
    </r>
  </si>
  <si>
    <t>A Compact Wideband CMOS Low-Noise Amplifier Using Shunt Resistive-Feedback and Series Inductive-Peaking Techniques</t>
  </si>
  <si>
    <t>Hsien-Ku Chen, Da-Chiang Chang, Ying-Zong Juang, Shey-Shi Lu</t>
  </si>
  <si>
    <t>08/2007</t>
  </si>
  <si>
    <t>A two-stage, common-gate in cascade with cascode, ultra wideband low noise amplifier (LNA) topology is proposed for 3.1 to 10.5 GHz full band application. The common-gate first stage is adopted and optimized for low noise figure (NF) at high frequencies. The LNA implemented in 0.18 mum CMOS shows more than 10 dB input return loss, maximum gain of 16 dB, and NF of 3.8~4.0 dB over the full frequency band while dissipating 5.3 mA from 1.8 V supply.</t>
  </si>
  <si>
    <t>Design of Full Band UWB Common-Gate LNA</t>
  </si>
  <si>
    <t>Yuna Shim, Chang-Wan Kim, Jeongseon Lee, Sang-Gug Lee</t>
  </si>
  <si>
    <t>10/2007</t>
  </si>
  <si>
    <r>
      <t>A Ku-band CMOS low-noise amplifier (LNA) with high interference-rejection (IR), wide gain control range, and low dc power consumption is presented. The LNA consists of two common-gate metal-oxide-semiconductor field-effect transistors interconnected with an interstage parallel tank for the IR. The stacked common-gate stages share the same dc bias current to reduce power consumption and have controllable gain by changing this dc current. The implemented 0.13 mum CMOS LNA achieves measured power gain of 10.8 dB, noise figure of 4.2 dB, output P</t>
    </r>
    <r>
      <rPr>
        <sz val="8"/>
        <color rgb="FF333333"/>
        <rFont val="Calibri"/>
        <family val="2"/>
        <scheme val="minor"/>
      </rPr>
      <t>1</t>
    </r>
    <r>
      <rPr>
        <sz val="11"/>
        <color rgb="FF333333"/>
        <rFont val="Calibri"/>
        <family val="2"/>
        <scheme val="minor"/>
      </rPr>
      <t> dB of -4.3 dBm at 15 GHz, while rejecting interference down to a 38.5 dB level. The gain control range is 23.3 dB by varying the gate voltage from 0.2 to 1.2 V. The LNA consumes only 4 mA from a 1.3-V supply.</t>
    </r>
  </si>
  <si>
    <t>A Ku-Band Interference-Rejection CMOS Low-Noise Amplifier Using Current-Reused Stacked Common-Gate Topology</t>
  </si>
  <si>
    <t>Wen-Lin Chen, Sheng-Fuh Chang, Guo-Wei Huang, et.al</t>
  </si>
  <si>
    <t>A 7 to 15 GHz low noise amplifier (LNA) in 0.13-mum CMOS is reported. The two-stage fully differential LNA delivers a peak gain of 13 dB and a minimum noise figure of 3.1 dB while consuming 32 mW from a 1.5 V supply. The implemented LNA shows a quadratic improvement of 1-dB compression point with frequency as predicted analytically. The effect of the input matching inductor (on-chip spiral versus wirebond) and also the electrostatic discharge protection circuitry on the LNA performance have been verified experimentally.</t>
  </si>
  <si>
    <t>A Differential X/Ku-Band Low Noise Amplifier in 0.13-μm CMOS Technology</t>
  </si>
  <si>
    <t>Masashi Yamagata, Hossein Hashemi</t>
  </si>
  <si>
    <t>12/2007</t>
  </si>
  <si>
    <r>
      <t>This letter presents the design and implementation of a Ka-band low noise amplifier (LNA). The LNA is based on a cascode amplifier using 0.12 mum SiGe heterojunction bipolar transistors (HBT). A new design procedure for simultaneous noise and input power matching is developed considering the collector-base feedback capacitance . At 33-34 GHz, the LNA results in a measured gain of 23.5 dB, a return loss of &lt;-20 dB and a noise figure (NF) of 2.9 dB. The input return loss is &lt;-10 dB and the NF is 2.6-3.2 dB for the entire Ka-band frequency range. The LNA is 300times300 mum</t>
    </r>
    <r>
      <rPr>
        <sz val="8"/>
        <color rgb="FF333333"/>
        <rFont val="Calibri"/>
        <family val="2"/>
        <scheme val="minor"/>
      </rPr>
      <t>2</t>
    </r>
    <r>
      <rPr>
        <sz val="11"/>
        <color rgb="FF333333"/>
        <rFont val="Calibri"/>
        <family val="2"/>
        <scheme val="minor"/>
      </rPr>
      <t>, consuming 6 mA from 1.8 V supply (11 mW). The output 1 dB compression power is -6 dBm. To our knowledge, these are state-of-the-art results and show the validity of the design technique.</t>
    </r>
  </si>
  <si>
    <t>Ka-Band SiGe HBT Low Noise Amplifier Design for Simultaneous Noise and Input Power Matching</t>
  </si>
  <si>
    <t>In this letter, we describe the design, fabrication, simulation, and measured performance of a single-stage and three-stage 320 GHz amplifier using Northrop Grumman Corporation's (NGC) 35-nm InP high electron mobility transistor submillimeter-wave monolithic integrated circuit (S-MMIC) process. On-wafer S-parameter measurements using an extended waveguide band WR3 vector network analyzer system were performed from 210-345 GHz. We measured 5 dB of gain for the single-stage amplifier at 340 GHz and 13-15 of gain from 300-345 GHz for the three-stage S-MMIC amplifier.</t>
  </si>
  <si>
    <t>Submillimeter-Wave InP MMIC Amplifiers From 300–345 GHz</t>
  </si>
  <si>
    <t>D. Pukala, L. Samoska, T. Gaier, et.al</t>
  </si>
  <si>
    <t>01/2008</t>
  </si>
  <si>
    <r>
      <t>A differential wideband low-noise amplifier (LNA) based on the current amplification scheme is presented for digital TV tuners. In order to highly improve the linearity and exploit the noise cancellation, a common-gate stage with positive current feedback is integrated in parallel with a common-source stage using the current mirror amplifier. The proposed 0.18-mum CMOS LNA exhibits a power gain of 20.5 dB, an IIP3 of 2.7 dBm, an IIP2 of 43 dBm, and an average noise figure of 3.3 dB with 32.4 mW power consumption at a 1.8-V power supply and 0.12 mm</t>
    </r>
    <r>
      <rPr>
        <sz val="8"/>
        <color rgb="FF333333"/>
        <rFont val="Calibri"/>
        <family val="2"/>
        <scheme val="minor"/>
      </rPr>
      <t>2</t>
    </r>
    <r>
      <rPr>
        <sz val="11"/>
        <color rgb="FF333333"/>
        <rFont val="Calibri"/>
        <family val="2"/>
        <scheme val="minor"/>
      </rPr>
      <t> area.</t>
    </r>
  </si>
  <si>
    <t>A Highly Linear Wideband CMOS Low-Noise Amplifier Based on Current Amplification for Digital TV Tuner Applications</t>
  </si>
  <si>
    <t>02/2008</t>
  </si>
  <si>
    <t>Seong-Sik Song, Dong-Gu Im, Hong-Teuk Kim, Kwyro Lee</t>
  </si>
  <si>
    <r>
      <t>This letter presents the design and experimental results of a 1.8/2.14 GHz dual-band CMOS low-noise amplifier (LNA), which is usable for code division multiple access and wideband code division multiple access applications. To achieve the narrow-band gain and impedance matching at both bands, an extra capacitor in parallel with the C</t>
    </r>
    <r>
      <rPr>
        <sz val="8"/>
        <color rgb="FF333333"/>
        <rFont val="Calibri"/>
        <family val="2"/>
        <scheme val="minor"/>
      </rPr>
      <t>gs</t>
    </r>
    <r>
      <rPr>
        <sz val="11"/>
        <color rgb="FF333333"/>
        <rFont val="Calibri"/>
        <family val="2"/>
        <scheme val="minor"/>
      </rPr>
      <t> of the main transistor and a harmonic tuned load are switched. Except for the output blocking capacitor and series inductor, all components are integrated on a single-chip. The LNA is designed using a 0.13mum- CMOS process and employs a supply voltage of 1.5 V and dissipates a dc power of 7.5 mW. The measured performances are gains of 14.54 dB and 16.6 dB, and noise figures of 1.75 dB and 1.97 dB at the two frequency bands, respectively. The linearity parameters of and P1dB</t>
    </r>
    <r>
      <rPr>
        <sz val="8"/>
        <color rgb="FF333333"/>
        <rFont val="Calibri"/>
        <family val="2"/>
        <scheme val="minor"/>
      </rPr>
      <t>in</t>
    </r>
    <r>
      <rPr>
        <sz val="11"/>
        <color rgb="FF333333"/>
        <rFont val="Calibri"/>
        <family val="2"/>
        <scheme val="minor"/>
      </rPr>
      <t> are -16dBm and -5.8 dBm at the 1.8 GHz, -14.8 dBm and -5.3 dBm at the 2.14 GHz, respectively.</t>
    </r>
  </si>
  <si>
    <t>A Sub-2 dB NF Dual-Band CMOS LNA for CDMA/WCDMA Applications</t>
  </si>
  <si>
    <t>03/2008</t>
  </si>
  <si>
    <t>Hyejeong Song, Huijung Kim, Kichon Han, et.al</t>
  </si>
  <si>
    <r>
      <t>This letter presents the design and implementation of a differential Ka-band variable gain low noise amplifier (VG-LNA) with low insertion phase imbalance. The VG-LNA is based on a 0.12 μm SiGe heterojunction bipolar transistor process, and the gain variation is achieved using bias current steering. The measured VG-LNA gain at 32–34 GHz is 9–20 dB with eight different linear-in-magnitude gain states, and with a noise figure of 3.4–4.3 dB. The measured rms phase imbalance is &lt; 2.5° at 26–40 GHz for all gain states and this is achieved using a novel compensating resistor in the bias network. The VG-LNA consumes 33 mW (13.5 mA, 2.5 V) and the input 1-dB gain compression point is –27 dBm. The chip size is 0.13 mm </t>
    </r>
    <r>
      <rPr>
        <sz val="8"/>
        <color rgb="FF333333"/>
        <rFont val="Calibri"/>
        <family val="2"/>
        <scheme val="minor"/>
      </rPr>
      <t>2</t>
    </r>
    <r>
      <rPr>
        <sz val="11"/>
        <color rgb="FF333333"/>
        <rFont val="Calibri"/>
        <family val="2"/>
        <scheme val="minor"/>
      </rPr>
      <t> without pads.</t>
    </r>
  </si>
  <si>
    <t>Ka-Band SiGe HBT Low Phase Imbalance Differential 3-Bit Variable Gain LNA</t>
  </si>
  <si>
    <t>04/2008</t>
  </si>
  <si>
    <r>
      <t>In this letter, an inductorless 0.1-8 GHz wideband CMOS differential low noise amplifier (LNA) based on a modified resistive feedback topology is proposed. Without using any passive inductors, the modified resistive feedback technique implemented with a parallel R-C feedback, an active inductor load, and neutralization capacitors achieves high gain, low noise, and good return loss over a wide bandwidth. To ensure the robustness in the system integration, electro-static discharge diodes are added to the radio frequency pads. The LNA was fabricated using a digital 90 nm CMOS technology. It achieves a 3 dB bandwidth of 8 GHz with a 16 dB voltage gain, noise figures from 3.4 dB to 5.8 dB across the whole band, and an input third-order intermodulation product (IIP3) of -9 dBm. The active area of the chip is 0.034 mm </t>
    </r>
    <r>
      <rPr>
        <sz val="8"/>
        <color rgb="FF333333"/>
        <rFont val="Calibri"/>
        <family val="2"/>
        <scheme val="minor"/>
      </rPr>
      <t>2</t>
    </r>
    <r>
      <rPr>
        <sz val="11"/>
        <color rgb="FF333333"/>
        <rFont val="Calibri"/>
        <family val="2"/>
        <scheme val="minor"/>
      </rPr>
      <t>. The chip was packaged and tested on an FR4 PCB using the chip-on-board approach.</t>
    </r>
  </si>
  <si>
    <t>A Packaged and ESD-Protected Inductorless 0.1–8 GHz Wideband CMOS LNA</t>
  </si>
  <si>
    <t>06/2008</t>
  </si>
  <si>
    <t>Tienyu Chang, Jinghong Chen, Lawrence Rigge, Jenshan Lin</t>
  </si>
  <si>
    <r>
      <t>A DC-11.5 GHz low-power amplifier is developed in commercial 0.13 mum, CMOS technology. This amplifier design is based on a three-stage shunt-feedback inverter-configuration with splitting load inductive peaking technique. The peaking inductor is placed at the gate of the nMOS to compensate gain roll-off of the inverter stage and extend its operating bandwidth. This amplifier achieves a gain flatness of 13.21 dB from dc to 11.5 GHz with I/O return losses better than 17 dB at a power consumption of 9.1 mW. The measured noise figure is less than 5.6 dB between 1-11 GHz. The output P1 dB is 8 dBm and input third-order intercept point is 10 dBm. The total chip size is 0.34 mm</t>
    </r>
    <r>
      <rPr>
        <sz val="8"/>
        <color rgb="FF333333"/>
        <rFont val="Calibri"/>
        <family val="2"/>
        <scheme val="minor"/>
      </rPr>
      <t>2</t>
    </r>
    <r>
      <rPr>
        <sz val="11"/>
        <color rgb="FF333333"/>
        <rFont val="Calibri"/>
        <family val="2"/>
        <scheme val="minor"/>
      </rPr>
      <t> including all testing pads, with a core area of only 0.08 mm</t>
    </r>
    <r>
      <rPr>
        <sz val="8"/>
        <color rgb="FF333333"/>
        <rFont val="Calibri"/>
        <family val="2"/>
        <scheme val="minor"/>
      </rPr>
      <t>2</t>
    </r>
    <r>
      <rPr>
        <sz val="11"/>
        <color rgb="FF333333"/>
        <rFont val="Calibri"/>
        <family val="2"/>
        <scheme val="minor"/>
      </rPr>
      <t>.</t>
    </r>
  </si>
  <si>
    <t>A DC-11.5 GHz Low-Power, Wideband Amplifier Using Splitting-Load Inductive Peaking Technique</t>
  </si>
  <si>
    <t>Shih-Fong Chao, Jhe-Jia Kuo, Chong-Liang Lin, et.al</t>
  </si>
  <si>
    <t>07/2008</t>
  </si>
  <si>
    <t>This study presents a high performance K-band low noise amplifier. By utilizing transformer feedback at the input stage, an excellent noise figure (NF) of 4.3 dB is obtained at 22 GHz. With the current-reused technique between the two stages, the amplifier achieves a maximum power gain of 10.1 dB under a supply voltage of 1.8 V and a power consumption of only 7.2 mW. The proposed LNA has comparable NF and gain, while it can operate under the lowest power among the published works in 0.18 mum CMOS technology for K-band applications.</t>
  </si>
  <si>
    <t>A Low-Power Low-Noise Amplifier for K-Band Applications</t>
  </si>
  <si>
    <t>Yu-Lin Wei, Shawn S. H. Hsu, Jun-De Jin</t>
  </si>
  <si>
    <t>02/2009</t>
  </si>
  <si>
    <r>
      <t>A fully integrated 5 GHz low-voltage and low-power low noise amplifier (LNA) using forward body bias technology, implemented through a 0.18 mum RF CMOS technology, is demonstrated. By employing the current-reused and forward body bias technique, the proposed LNA can operate at a reduced supply voltage and power consumption. The proposed LNA delivers a power gain (S21) of 10.23 dB with a noise figure of 4.1 dB at 5 GHz, while consuming only 0.8 mW dc power with a low supply voltage of 0.6 V. The power consumption figure of merit (FOM</t>
    </r>
    <r>
      <rPr>
        <sz val="8"/>
        <color rgb="FF333333"/>
        <rFont val="Calibri"/>
        <family val="2"/>
        <scheme val="minor"/>
      </rPr>
      <t>1</t>
    </r>
    <r>
      <rPr>
        <sz val="11"/>
        <color rgb="FF333333"/>
        <rFont val="Calibri"/>
        <family val="2"/>
        <scheme val="minor"/>
      </rPr>
      <t>) and the tuning-range figure of merit (FOM</t>
    </r>
    <r>
      <rPr>
        <sz val="8"/>
        <color rgb="FF333333"/>
        <rFont val="Calibri"/>
        <family val="2"/>
        <scheme val="minor"/>
      </rPr>
      <t>2</t>
    </r>
    <r>
      <rPr>
        <sz val="11"/>
        <color rgb="FF333333"/>
        <rFont val="Calibri"/>
        <family val="2"/>
        <scheme val="minor"/>
      </rPr>
      <t>) are optimal at 12.79 dB/mW and 2.6 mW</t>
    </r>
    <r>
      <rPr>
        <sz val="8"/>
        <color rgb="FF333333"/>
        <rFont val="Calibri"/>
        <family val="2"/>
        <scheme val="minor"/>
      </rPr>
      <t>-1</t>
    </r>
    <r>
      <rPr>
        <sz val="11"/>
        <color rgb="FF333333"/>
        <rFont val="Calibri"/>
        <family val="2"/>
        <scheme val="minor"/>
      </rPr>
      <t>, respectively. The chip area is 0.89times0.89 mm</t>
    </r>
    <r>
      <rPr>
        <sz val="8"/>
        <color rgb="FF333333"/>
        <rFont val="Calibri"/>
        <family val="2"/>
        <scheme val="minor"/>
      </rPr>
      <t>2</t>
    </r>
    <r>
      <rPr>
        <sz val="11"/>
        <color rgb="FF333333"/>
        <rFont val="Calibri"/>
        <family val="2"/>
        <scheme val="minor"/>
      </rPr>
      <t>.</t>
    </r>
  </si>
  <si>
    <t>A Fully Integrated 5 GHz Low-Voltage LNA Using Forward Body Bias Technology</t>
  </si>
  <si>
    <t>Chieh-Pin Chang, Ja-Hao Chen, Yeong-Her Wang</t>
  </si>
  <si>
    <t>03/2009</t>
  </si>
  <si>
    <t>A wideband CMOS low-noise amplifier (LNA) is proposed by using the concept of mutual coupling technique implemented through a symmetric center-tap inductor. A frequency widening network is designed with a center-tap inductor at the input and the output of an LNA to achieve bandwidth extension with a single stage amplifier. The proposed wideband low noise amplifier is implemented in the 0.18 mum CMOS technology. This design obtains a bandwidth of 3-8 GHz with a power consumption of 3.77 mW from a 1.8 V supply.</t>
  </si>
  <si>
    <t>A 3–8 GHz Low-Noise CMOS Amplifier</t>
  </si>
  <si>
    <t>Ali Meaamar, Boon Chirn Chye, Do Man Anh, Yeo Kiat Seng</t>
  </si>
  <si>
    <t>04/2009</t>
  </si>
  <si>
    <t>GaN low-noise amplifiers (LNAs) operating at 27-31 GHz are presented in this letter. The monolithically integrated LNAs were fabricated using the process line of the Ferdinand-Braun-Institut. Noise figures of 3.7 to 3.9 dB were measured. The ruggedness of the LNAs was verified by noise measurements after stressing the LNA for up to 2 h with up to 33 dBm of input power. These conditions are among the most severe stress tests reported in literature. To the best of the authors knowledge, this is the first demonstration of a GaN LNA in this frequency region.</t>
  </si>
  <si>
    <t>Highly Rugged 30 GHz GaN Low-Noise Amplifiers</t>
  </si>
  <si>
    <t>Matthias Rudolph, Nidhi Chaturvedi, Klaus Hirche, et.al</t>
  </si>
  <si>
    <r>
      <t>In this letter, a 0.1-20 GHz low-power low noise amplifier (LNA) is presented. A novel self-biased resistive- feedback topology is proposed. Two inductors inside the feedback loop and a shunt-peaking inductor are exploited to extend the bandwidth. A PMOSFET with inductive degeneration is chosen as the load to boost the gain while maintaining low noise figure (NF) at high frequencies. A source-degeneration inductor is also introduced at the input transistor to ensure good input matching and stability over the entire bandwidth. All inductors are small due to the presence of feedback. The LNA was fabricated using a digital 90 nm CMOS process with 12.7 dB peak power gain, 3.3 dB minimum NF, and - 1 dBm peak input-referred third-order intercept point (IIP3). With 12.6 mW power consumption and 0.12 mm </t>
    </r>
    <r>
      <rPr>
        <sz val="8"/>
        <color rgb="FF333333"/>
        <rFont val="Calibri"/>
        <family val="2"/>
        <scheme val="minor"/>
      </rPr>
      <t>2</t>
    </r>
    <r>
      <rPr>
        <sz val="11"/>
        <color rgb="FF333333"/>
        <rFont val="Calibri"/>
        <family val="2"/>
        <scheme val="minor"/>
      </rPr>
      <t> active area, this wideband LNA may replace distributed amplifiers (DAs) in many applications.</t>
    </r>
  </si>
  <si>
    <t>A 0.1–20 GHz Low-Power Self-Biased Resistive-Feedback LNA in 90 nm Digital CMOS</t>
  </si>
  <si>
    <t>Mingqi Chen, Jenshan Lin</t>
  </si>
  <si>
    <t>05/2009</t>
  </si>
  <si>
    <r>
      <t>This letter presents a wideband low-noise amplifier (LNA) that supports both differential and single-ended inputs, while providing differential output. The LNA is implemented in 0.13 mum CMOS technology. For sub-1 GHz wideband applications, this LNA achieves 22.5 dB voltage gain, +1 dBm IIP3, and 2.5 dB NF in the differential receiving mode, while achieving 23 dB voltage gain, -0.5 dBm IIP3, and 2.65 dB NF in the single-ended receiving mode. The LNA core circuit draws 2.5 mA from 1.2 V supply voltage, and occupies a small chip area of 0.06 mm</t>
    </r>
    <r>
      <rPr>
        <sz val="8"/>
        <color rgb="FF333333"/>
        <rFont val="Calibri"/>
        <family val="2"/>
        <scheme val="minor"/>
      </rPr>
      <t>2</t>
    </r>
    <r>
      <rPr>
        <sz val="11"/>
        <color rgb="FF333333"/>
        <rFont val="Calibri"/>
        <family val="2"/>
        <scheme val="minor"/>
      </rPr>
      <t>.</t>
    </r>
  </si>
  <si>
    <t>Wideband LNA Compatible for Differential and Single-Ended Inputs</t>
  </si>
  <si>
    <t>Ming-Ching Kuo, Chien-Nan Kuo, Tzu-Chan Chueh</t>
  </si>
  <si>
    <t>07/2009</t>
  </si>
  <si>
    <r>
      <t>This letter presents the smallest reported 5 GHz receiver chip (1.3 mm</t>
    </r>
    <r>
      <rPr>
        <sz val="8"/>
        <color rgb="FF333333"/>
        <rFont val="Calibri"/>
        <family val="2"/>
        <scheme val="minor"/>
      </rPr>
      <t>2</t>
    </r>
    <r>
      <rPr>
        <sz val="11"/>
        <color rgb="FF333333"/>
        <rFont val="Calibri"/>
        <family val="2"/>
        <scheme val="minor"/>
      </rPr>
      <t>) with an on-chip antenna in standard 0.13 mum CMOS process. The miniaturization is achieved by placing the circuits inside a meandered antenna. The on-chip antenna is conjugately matched to the low noise amplifier (LNA) over a wide frequency range. The design methodology for co-design of the on-chip antenna and LNA is described. The LNA is completely differential, consumes only 8 mW of power and provides a gain of 21 dB. Design tradeoffs and measurement challenges are given.</t>
    </r>
  </si>
  <si>
    <t>A Fully Differential Monolithic LNA With On-Chip Antenna for a Short Range Wireless Receiver</t>
  </si>
  <si>
    <t>Muhammad Arsalan, Atif Shamim, Langis Roy, Maitham Shams</t>
  </si>
  <si>
    <t>10/2009</t>
  </si>
  <si>
    <r>
      <t>A low-power fully integrated low-noise amplifier (LNA) with an on-chip electrostatic-static discharge (ESD) protection circuit for ultra-wide band (UWB) applications is presented. With the use of a common-gate scheme with a g </t>
    </r>
    <r>
      <rPr>
        <sz val="8"/>
        <color rgb="FF333333"/>
        <rFont val="Calibri"/>
        <family val="2"/>
        <scheme val="minor"/>
      </rPr>
      <t>m</t>
    </r>
    <r>
      <rPr>
        <sz val="11"/>
        <color rgb="FF333333"/>
        <rFont val="Calibri"/>
        <family val="2"/>
        <scheme val="minor"/>
      </rPr>
      <t> -boosted technique, a simple input matching network, low noise figure (NF), and low power consumption can be achieved. Through the combination of an input matching network, an ESD clamp circuit has been designed for the proposed LNA circuit to enhance system robustness. The measured results show that the fabricated LNA can be operated over the full UWB bandwidth of 3.0 to 10.35 GHz. The input return loss (S </t>
    </r>
    <r>
      <rPr>
        <sz val="8"/>
        <color rgb="FF333333"/>
        <rFont val="Calibri"/>
        <family val="2"/>
        <scheme val="minor"/>
      </rPr>
      <t>11</t>
    </r>
    <r>
      <rPr>
        <sz val="11"/>
        <color rgb="FF333333"/>
        <rFont val="Calibri"/>
        <family val="2"/>
        <scheme val="minor"/>
      </rPr>
      <t> ) and output return loss (S </t>
    </r>
    <r>
      <rPr>
        <sz val="8"/>
        <color rgb="FF333333"/>
        <rFont val="Calibri"/>
        <family val="2"/>
        <scheme val="minor"/>
      </rPr>
      <t>22</t>
    </r>
    <r>
      <rPr>
        <sz val="11"/>
        <color rgb="FF333333"/>
        <rFont val="Calibri"/>
        <family val="2"/>
        <scheme val="minor"/>
      </rPr>
      <t> ) are less than -8.3 dB and -9 dB, respectively. The measured power gain (S21) is 11 plusmn1.5 dB, and the measured minimum NF is 3.3 dB at 4 GHz. The dc power dissipation is 7.2 mW from a 1.2 V supply. The chip area, including testing pads, is 1.05 mm times 0.73 mm.</t>
    </r>
  </si>
  <si>
    <t>A 3–10 GHz CMOS UWB Low-Noise Amplifier With ESD Protection Circuits</t>
  </si>
  <si>
    <t>Chung-Yu Wu, Yi-Kai Lo, Min-Chiao Chen</t>
  </si>
  <si>
    <t>11/2009</t>
  </si>
  <si>
    <r>
      <t>This study presents a wideband low noise amplifier (LNA) including electrostatic discharge (ESD) protection circuits using 65 nm CMOS with a gate oxide thickness of only ~ 2 nm. By co-designing the ESD blocks with the core circuit, the LNA shows almost no performance degradation compared to the reference design without ESD. Under a power consumption of only 6.8 mW, the silicon results show that the LNA can achieve a peak power gain of 13.8 dB. Within the 3 dB bandwidth from 2.6 GHz to 6.6 GHz, the noise figure (NF) is in a range of 4.0 dB to 6.5 dB and the input reflection coefficient </t>
    </r>
    <r>
      <rPr>
        <i/>
        <sz val="11"/>
        <color rgb="FF333333"/>
        <rFont val="Calibri"/>
        <family val="2"/>
        <scheme val="minor"/>
      </rPr>
      <t>S</t>
    </r>
    <r>
      <rPr>
        <sz val="11"/>
        <color rgb="FF333333"/>
        <rFont val="Calibri"/>
        <family val="2"/>
        <scheme val="minor"/>
      </rPr>
      <t> </t>
    </r>
    <r>
      <rPr>
        <sz val="8"/>
        <color rgb="FF333333"/>
        <rFont val="Calibri"/>
        <family val="2"/>
        <scheme val="minor"/>
      </rPr>
      <t>11</t>
    </r>
    <r>
      <rPr>
        <sz val="11"/>
        <color rgb="FF333333"/>
        <rFont val="Calibri"/>
        <family val="2"/>
        <scheme val="minor"/>
      </rPr>
      <t> is below -13.0 dB. Using the miniaturized Shallow-Trench-Isolation (STI) diode of ~ 40 fF capacitance and a robust gate-driven power clamp configuration, the proposed LNA demonstrates an excellent 4 kV human body mode (HBM) ESD performance, which has the highest voltage/capacitance ratio ( ~ 100 V/fF) among the published results for RF LNA applications.</t>
    </r>
  </si>
  <si>
    <t>A Wideband Low Noise Amplifier With 4 kV HBM ESD Protection in 65 nm RF CMOS</t>
  </si>
  <si>
    <t>This letter presents an integrated AlGaN/GaN X-band receiver front-end. This is to the authors knowledge the first published results of an integrated AlGaN/GaN MMIC receiver front-end. The receiver uses an integrated SPDT switch to reduce size, weight and cost compared to circulator based transceiver front-ends. The integrated front-end has more than 13 dB of gain and a noise figure of 3.5 dB at 11 GHz.</t>
  </si>
  <si>
    <t>An X-Band AlGaN/GaN MMIC Receiver Front-End</t>
  </si>
  <si>
    <t>01/2010</t>
  </si>
  <si>
    <t>Mattias Thorsell, Martin Fagerlind, Kristoffer Andersson, et.al</t>
  </si>
  <si>
    <t>A Low-Noise Amplifier With Tunable Interference Rejection for 3.1- to 10.6-GHz UWB Systems</t>
  </si>
  <si>
    <t>Bonghyuk Park, Sangsung Choi, Songcheol Hong</t>
  </si>
  <si>
    <t>An ultrawideband common-gate low noise amplifier with tunable interference rejection is presented. The proposed LNA embeds a tunable active notch filter to eliminate interferer at 5-GHz WLAN and employs a common-gate input stage and dual-resonant loads for wideband implementation. This LNA has been fabricated in a 0.18-¿m CMOS process. The measured maximum power gain is 13.2 dB and noise figure is 4.5-6.2 dB with bandwidth of 3.1-10.6 GHz. The interferer rejection is 8.2 dB compared to the maximum gain and 7.6 dB noise figure at 5.2 GHz , respectively. The measured input P1dB is -11 dBm at 10.3 GHz. It consumes 12.8 mA from 1.8-V supply voltage.</t>
  </si>
  <si>
    <t>This letter presents a low-power linear and wideband two-stage millimeter-wave low-noise amplifier (LNA) fabricated in a low-cost 0.18 ¿m SiGe BiCMOS technology. Design techniques utilized to optimize the gain and NF and to achieve high linearity and wideband at W-band are addressed. The LNA achieves a peak power gain of 14.5 dB at 77 GHz with a 3 dB bandwidth of 14.5 GHz from 69 to 83.5 GHz. The measured NF is 6.9 dB at 77 GHz and is lower than 8 dB from 64 to 81 GHz. Both input and output return losses are better than 11 dB and 17 dB at 77 GHz, respectively. The measured input 1 dB compression point is -11.4 dBm at 77 GHz with low power consumption of only 37 mW.</t>
  </si>
  <si>
    <t>A Low-Power Linear SiGe BiCMOS Low-Noise Amplifier for Millimeter-Wave Active Imaging</t>
  </si>
  <si>
    <t>02/2010</t>
  </si>
  <si>
    <t>Austin Ying-Kuang Chen, Yves Baeyens, Young-Kai Chen, Jenshan Lin</t>
  </si>
  <si>
    <t>A low-power low-noise amplifier (LNA) implemented in 0.18 ¿m CMOS technology utilizing a self-forward-body-bias (SFBB) technique is proposed for UWB low-frequency band system. By using the SFBB technique, it reduces supply voltage as well as saves additional bias circuits, which leads to low power consumption of 4.5 mW with low supply voltage of 1.06 V for two drain-to-source voltage drops. The complementary architecture and direct coupling technique between the first two stages also save bias circuits. The measurement result shows that the proposed LNA presents a maximum power gain of 16 dB with a good input impedance matching (S11 &lt; -12 dB) and an average noise figure of 2.65 dB in the frequency range of 3-6.5 GHz.</t>
  </si>
  <si>
    <t>A Low-Power Self-Forward-Body-Bias CMOS LNA for 3–6.5-GHz UWB Receivers</t>
  </si>
  <si>
    <t>Chen-Ming Li, Ming-Tsung Li, Kuang-Chi He, Jenn-Hwan Tarng</t>
  </si>
  <si>
    <r>
      <t>A 0.5-11 GHz CMOS low noise amplifier (LNA) is proposed, with a new dual-channel shunt technique implemented, where one channel uses inductive-series peaking to provide flat gain over 0.5 to 11 GHz, and another channel adopts resistive feedback to realize wideband input impedance matching. The LNA was fabricated using the TSMC 0.18 ¿m CMOS process, achieving a maximum power gain of 10.2 dB. Its input return loss is better than 9 dB over a 3 dB bandwidth of 0.5-11 GHz at a power consumption of 14.4 mW. The measured noise figure is from 3.9 to 4.5 dB, and the IIP3 is -9.1 dBm at 6 GHz. The overall chip size is about 0.54 mm </t>
    </r>
    <r>
      <rPr>
        <sz val="8"/>
        <color rgb="FF333333"/>
        <rFont val="Calibri"/>
        <family val="2"/>
        <scheme val="minor"/>
      </rPr>
      <t>2</t>
    </r>
    <r>
      <rPr>
        <sz val="11"/>
        <color rgb="FF333333"/>
        <rFont val="Calibri"/>
        <family val="2"/>
        <scheme val="minor"/>
      </rPr>
      <t> .</t>
    </r>
  </si>
  <si>
    <t>A 0.5–11 GHz CMOS Low Noise Amplifier Using Dual-Channel Shunt Technique</t>
  </si>
  <si>
    <t>Qiang-Tao Lai, Jun-Fa Mao</t>
  </si>
  <si>
    <t>05/2010</t>
  </si>
  <si>
    <r>
      <t>A 2.1 to 6 GHz tunable-band LNA by using transistor-size scaling technique is realized in 90 nm CMOS technology, which adopts a scalable-size transistor mimicked by the parallel-connected transistors with binary weighted device sizes. In the 16 programmable bands located in the frequencies of interest, the S21 varies in the range from 15.1 to 16.9 dB, and the NF is from 2.16 to 2.81 dB. This tunable -band LNA occupies only 0.23 mm</t>
    </r>
    <r>
      <rPr>
        <sz val="8"/>
        <color rgb="FF333333"/>
        <rFont val="Calibri"/>
        <family val="2"/>
        <scheme val="minor"/>
      </rPr>
      <t>2</t>
    </r>
    <r>
      <rPr>
        <sz val="11"/>
        <color rgb="FF333333"/>
        <rFont val="Calibri"/>
        <family val="2"/>
        <scheme val="minor"/>
      </rPr>
      <t>, which is readily compact compared with the prior arts of passive components switchable LNAs.</t>
    </r>
  </si>
  <si>
    <t>A 2.1 to 6 GHz Tunable-band LNA With Adaptive Frequency Responses by Transistor Size Scaling</t>
  </si>
  <si>
    <t>06/2010</t>
  </si>
  <si>
    <t>Yu-Hsiang Wang, Kuan-Ting Lin, Tao Wang, et.al</t>
  </si>
  <si>
    <t>**(This is a tunable LNA with multiple bands of operation)</t>
  </si>
  <si>
    <t>This letter presents a low noise amplifier (LNA) RFIC with notch filter implemented in a 0.13 μm SiGe BiCMOS technology. The LNA/filter combination utilizes Q-enhanced techniques to achieve a high gain and high image rejection ratio (IRR) simultaneously. The amplifier operates at 7.27 GHz and achieves 22.5 dB gain with an IIR of 70 dB. The measured noise figure and IIP3 of the LNA are better than 5.1 dB and -13 dBm, respectively. The LNA dissipates 21 mW power with a 1.7 V supply.</t>
  </si>
  <si>
    <t>A 7.27 GHzQ-Enhanced Low Noise Amplifier RFIC With 70 dB Image Rejection Ratio</t>
  </si>
  <si>
    <t>Desheng Ma, Fa Foster Dai</t>
  </si>
  <si>
    <t>08/2010</t>
  </si>
  <si>
    <t>This letter proposes a novel LNA design method where the complementary transistor topology is combined with asymmetrical inductive source degeneration to achieve matched input impedance over a wide bandwidth. A 2-10 GHz LNA is designed and fabricated using a commercial 0.18 RF-CMOS process to verify the feasibility of our proposed method. In the intended bandwidth, this LNA has matched input impedance, 20 dB power gain, and 2.4-3.4 dB noise figure, with 25.65 mW power consumption.</t>
  </si>
  <si>
    <t>Complementary UWB LNA Design Using Asymmetrical Inductive Source Degeneration</t>
  </si>
  <si>
    <t>Hui-I Wu, Robert Hu, Christina F. Jou</t>
  </si>
  <si>
    <t>07/2010</t>
  </si>
  <si>
    <t>This letter describes an ultra-wideband (UWB) LNA designed with the aim of achieving both flat group delay variation and a low noise characteristic. Negative group delay (NGD) circuits are good candidates for compensating the group delay variation; however, they have inherent resistances that deteriorate the noise figure (NF). Therefore, an NGD circuit is applied to the latter part of a prototype amplifier. Similarly, a noise matching circuit is applied to the group-delay-equalized amplifier with consideration for its effect on the group delay variation. The LNA with an NGD circuit and a noise matching circuit is fabricated on an InGaP/GaAs MMIC substrate. The fabricated LNA achieved a group delay variation of 11.2 ps, a NF of 1.95-3.54 dB, a maximum gain of 12.3 dB, and a gain variation of 1.1 dB in the UWB band (3.1-10.6 GHz).</t>
  </si>
  <si>
    <t>Low Noise Group Delay Equalization Technique for UWB InGaP/GaAs HBT LNA</t>
  </si>
  <si>
    <t>Kyoung-Pyo Ahn, Ryo Ishikawa, Kazuhiko Honjo</t>
  </si>
  <si>
    <r>
      <t>A low-voltage low-power K-band low-noise amplifier (LNA) using 0.18 μm CMOS technology is presented in this letter. By splitting the dc current paths, the supply voltage of the LNA is effectively reduced. Moreover, the forward-biased body is adopted for the LNA to boost the gain. Furthermore, the high-value resistors are utilized between nMOS bodies and forward-body biases (V </t>
    </r>
    <r>
      <rPr>
        <sz val="8"/>
        <color rgb="FF333333"/>
        <rFont val="Calibri"/>
        <family val="2"/>
        <scheme val="minor"/>
      </rPr>
      <t>B</t>
    </r>
    <r>
      <rPr>
        <sz val="11"/>
        <color rgb="FF333333"/>
        <rFont val="Calibri"/>
        <family val="2"/>
        <scheme val="minor"/>
      </rPr>
      <t> ) to prevent the signal leakage and noise coupling. The proposed LNA achieved a 13.2 dB gain and 4.1 dB noise figure at 20.5 GHz. The supply voltage and total dc power consumption are 0.6 V and 7.1 mW, respectively. To the author's knowledge, this LNA demonstrates the lowest supply voltage among previously published K-band 0.18 μm CMOS LNA.</t>
    </r>
  </si>
  <si>
    <t>A Low-Voltage Low-Power K-Band CMOS LNA Using DC-Current-Path Split Technology</t>
  </si>
  <si>
    <t>To-Po Wang</t>
  </si>
  <si>
    <t>09/2010</t>
  </si>
  <si>
    <t>A dual-band cross-coupled common-gate low noise amplifier (LNA) utilizing post distortion cancellation is introduced. A differential pair biased in weak inversion is used to cancel the third-order intermodulation (IMD3) distortion of the main amplifier. An on-chip circuit is used for biasing the main and auxiliary amplifier. The IIP3 of the LNA is improved by more than 4 dB in both bands, located at 1.8 and 2 GHz, respectively. The IIP3 of the amplifier is +11 dBm, the gain is 15 and 16 dB, and the Noise Figure (NF) is 4 and 3.5 dB in the low and high bands, respectively. The LNA is implemented in a 90 nm CMOS process and draws 4 mA from a 1 V supply.</t>
  </si>
  <si>
    <t>A 90 nm CMOS +11 dBm IIP3 4 mW Dual-Band LNA for Cellular Handsets</t>
  </si>
  <si>
    <t>Gholamreza Zare Fatin, Ziaddin Daei Koozehkanani, Henrik Sjöland</t>
  </si>
  <si>
    <r>
      <t>This letter presents an ultra-wideband low noise amplifier (LNA) using gallium-nitride (GaN) high-electron mobility transistors (HEMT) technology. A -3 dB bandwidth of 1-25 GHz with 13 dB peak power gain is achieved using a modified resistive-feedback topology. To obtain such a wide bandwidth, several bandwidth enhancement techniques are utilized. An inductor connected to the source of the input transistor ensures good input matching (|S </t>
    </r>
    <r>
      <rPr>
        <sz val="8"/>
        <color rgb="FF333333"/>
        <rFont val="Calibri"/>
        <family val="2"/>
        <scheme val="minor"/>
      </rPr>
      <t>11</t>
    </r>
    <r>
      <rPr>
        <sz val="11"/>
        <color rgb="FF333333"/>
        <rFont val="Calibri"/>
        <family val="2"/>
        <scheme val="minor"/>
      </rPr>
      <t> | &lt;; -9 dB) across the entire bandwidth. The shunt feedback loop and the inductive source degeneration minimize all the required inductor values. This GaN HEMT LNA is believed to have the widest bandwidth among all GaN HEMT monolithic microwave integrated circuit (MMIC) LNAs reported to date. With 3.3 dB minimum noise figure (F), 33.5 dBm maximum output-referred third-order intercept point (OIP3), 20 dBm maximum output-referred 1 dB compression point (Output P1 dB), this MMIC amplifier is comparable in performance to distributed amplifiers (DAs) but with significantly lower power consumption and smaller area.</t>
    </r>
  </si>
  <si>
    <t>A 1–25 GHz GaN HEMT MMIC Low-Noise Amplifier</t>
  </si>
  <si>
    <t>Mingqi Chen, William Sutton, Ioulia Smorchkova, et.al</t>
  </si>
  <si>
    <t>10/2010</t>
  </si>
  <si>
    <r>
      <t>A CMOS broadband differential low noise amplifier (LNA) employing noise and third order intermodulation (IM3) distortion cancellation has been designed using a 0.13 μm CMOS process for mobile TV tuners. By combining a common gate amplifier with a common source amplifier through a current mirror, a high gain due to the additional current amplification and a low noise figure (NF) due to the thermal noise cancellation can be achieved with low power consumption without degrading the input matching. To improve the linearity with low power consumption, a multiple gated transistor technique for canceling the IM3 distortion is adopted. The proposed LNA has a maximum gain of 14.5 dB, an averaged NF of 3.6 dB, an IIP3 of 3 dBm, an IIP2 of 38 dBm, and an |Sn </t>
    </r>
    <r>
      <rPr>
        <sz val="8"/>
        <color rgb="FF333333"/>
        <rFont val="Calibri"/>
        <family val="2"/>
        <scheme val="minor"/>
      </rPr>
      <t>11</t>
    </r>
    <r>
      <rPr>
        <sz val="11"/>
        <color rgb="FF333333"/>
        <rFont val="Calibri"/>
        <family val="2"/>
        <scheme val="minor"/>
      </rPr>
      <t> | lower than -9 dB in a frequency range from 72 to 850 MHz. The power consumption is 9.6 mW at a 1.2 V supply voltage and the chip area is 0.08 mm </t>
    </r>
    <r>
      <rPr>
        <sz val="8"/>
        <color rgb="FF333333"/>
        <rFont val="Calibri"/>
        <family val="2"/>
        <scheme val="minor"/>
      </rPr>
      <t>2</t>
    </r>
    <r>
      <rPr>
        <sz val="11"/>
        <color rgb="FF333333"/>
        <rFont val="Calibri"/>
        <family val="2"/>
        <scheme val="minor"/>
      </rPr>
      <t> .</t>
    </r>
  </si>
  <si>
    <t>A Low Power Broadband Differential Low Noise Amplifier Employing Noise and IM3 Distortion Cancellation for Mobile Broadcast Receivers</t>
  </si>
  <si>
    <t>Donggu Im, Ilku Nam, Kwyro Lee</t>
  </si>
  <si>
    <t>This letter presents a wideband low noise amplifier (LNA) implemented in 0.15 μm InGaAs pHEMT technology. The forward combining technique is proposed to boost the amplifier gain at Ka band. Through gain enhancement, the noise characteristic of the amplifier can also be reduced. The Ka-band LNA exhibits a very wide 3 dB bandwidth from 29 to 44 GHz with the power gain of 14.2 dB. The measured noise figure varies between 2.0 and 3.3 dB from 26.5 to 40 GHz. The supply voltage of the circuit is 1.2 V and the power consumption is 38 mW. The overall chip size is 650 μm×720 μm.</t>
  </si>
  <si>
    <t>A Ka-Band Low Noise Amplifier Using Forward Combining Technique</t>
  </si>
  <si>
    <t>Yueh-Hua Yu, Wei-Hong Hsu, Yi-Jan Emery Chen</t>
  </si>
  <si>
    <t>12/2010</t>
  </si>
  <si>
    <r>
      <t>This study presents an ultra-low-power 24 GHz low-noise amplifier (LNA) using 0.13 μm CMOS technology. We propose of using the minimum noise measure (M </t>
    </r>
    <r>
      <rPr>
        <sz val="8"/>
        <color rgb="FF333333"/>
        <rFont val="Calibri"/>
        <family val="2"/>
        <scheme val="minor"/>
      </rPr>
      <t>MIN</t>
    </r>
    <r>
      <rPr>
        <sz val="11"/>
        <color rgb="FF333333"/>
        <rFont val="Calibri"/>
        <family val="2"/>
        <scheme val="minor"/>
      </rPr>
      <t> ) as the guideline to determine the optimal bias and geometry of the transistors in the circuit. The power-constrained simultaneous noise and input matching (PCSNIM) technique is also employed for this design. With the proposed design approach, the LNA achieves a peak gain of 9.2 dB and a minimum NF of 3.7 dB under a supply voltage of 1 V. The associated power consumption is only 2.78 mW.</t>
    </r>
  </si>
  <si>
    <t>An Ultra-Low-Power 24 GHz Low-Noise Amplifier Using 0.13μmCMOS Technology</t>
  </si>
  <si>
    <t>Wei-Han Cho, Shawn S. H. H</t>
  </si>
  <si>
    <r>
      <t>A low power and high gain V-band CMOS low-noise amplifier (LNA) is proposed in this letter with a three-stage cascode topology. Using the gate-inductive gain-peaking technique to boost the gain, the proposed LNA achieves a good figure of merit (FOM) with less power consumption. This proposed LNA is fabricated in a 0.13 μm RF CMOS process, which achieves a peak gain of 21 dB at 53 GHz, a noise figure (NF) of 7.6 dB at 53 GHz, a 3 dB frequency bandwidth ranging from 51.3 to 55.8 GHz, an input 1 dB compression point (P </t>
    </r>
    <r>
      <rPr>
        <sz val="8"/>
        <color rgb="FF333333"/>
        <rFont val="Calibri"/>
        <family val="2"/>
        <scheme val="minor"/>
      </rPr>
      <t>1 dB</t>
    </r>
    <r>
      <rPr>
        <sz val="11"/>
        <color rgb="FF333333"/>
        <rFont val="Calibri"/>
        <family val="2"/>
        <scheme val="minor"/>
      </rPr>
      <t> ) of - 25 dBm at 53 GHz, and an input third-order intercept point (IIP3) of -16 dBm. Also, the LNA consumes only 15.1 mW at a supply voltage of 1.5 V. The calculated FOM is 0.81 in average. Such a V-band LNA design is applicable to the cost-efficiency integration of a microwave radiometer front-end circuit over the operation frequency band of 52 to 56 GHz.</t>
    </r>
  </si>
  <si>
    <t>Low-Power, High-Gain V-Band CMOS Low Noise Amplifier for Microwave Radiometer Applications</t>
  </si>
  <si>
    <t>02/2011</t>
  </si>
  <si>
    <t>Chun-Chieh Huang, Hsin-Chih Kuo, Tzuen-Hsi Huang, Huey-Ru Chuang</t>
  </si>
  <si>
    <t>The design and fabrication of four-stage cascaded mm-wave low noise amplifiers (LNAs) in a 130 nm CMOS technology are presented. The simultaneous high stability factor and low noise figure are obtained using proper inductors in both gate and source of the transistor. Measured gain of 14.7 dB with a 7 GHz bandwidth has been achieved. The larger inductors are realized with microstrip lines to improve the performance of the LNA and minimize the circuit size.</t>
  </si>
  <si>
    <t>A 59–66 GHz Highly Stable Millimeter Wave Amplifier in 130 nm CMOS Technology</t>
  </si>
  <si>
    <t>Mehrdad Fahimnia, Mahmoud Mohammad-Taheri, Ying Wang, et.al</t>
  </si>
  <si>
    <t>06/2011</t>
  </si>
  <si>
    <r>
      <t>In this letter, low noise amplification at 0.67 THz is demonstrated for the first time. A packaged InP High Electron Mobility Transistor (HEMT) amplifier is reported to achieve a noise figure of 13 dB with an associated gain greater than 7 dB at 670 GHz using a high f</t>
    </r>
    <r>
      <rPr>
        <sz val="8"/>
        <color rgb="FF333333"/>
        <rFont val="Calibri"/>
        <family val="2"/>
        <scheme val="minor"/>
      </rPr>
      <t>MAX</t>
    </r>
    <r>
      <rPr>
        <sz val="11"/>
        <color rgb="FF333333"/>
        <rFont val="Calibri"/>
        <family val="2"/>
        <scheme val="minor"/>
      </rPr>
      <t> InP HEMT transistors in a 5 stage coplanar waveguide integrated circuit. A 10-stage version is also reported to reach a peak gain of 30 dB. These results indicate that InP HEMT integrated circuits can be useful at frequencies approaching a terahertz.</t>
    </r>
  </si>
  <si>
    <t>Low Noise Amplification at 0.67 THz Using 30 nm InP HEMTs</t>
  </si>
  <si>
    <t>William. R. Deal, K. Leong, V. Radisic, et.al</t>
  </si>
  <si>
    <t>07/2011</t>
  </si>
  <si>
    <t>This letter presents an ESD-protected 24 GHz low-noise amplifier (LNA) in 90 nm CMOS using RF junction varactors for noise optimization and ESD protection simultaneously. One of the junction varactors, inserted as an extra gate-source capacitance, provides an effective CDM ESD protection, and is also used for power-constrained simultaneous noise and input matching. The measured results demonstrate a 2.7 A (corresponding to a 4 kV HBM) and an 11.4 A ESD protection levels using transmission line pulse and very fast transmission line pulse tests, respectively. Under a power consumption of 9.1 mW, the ESD-protected LNA presents a NF of 2.9 dB and power gain of 15.2 dB at the center frequency of 24 GHz.</t>
  </si>
  <si>
    <t>A 24 GHz Low-Noise Amplifier Using RF Junction Varactors for Noise Optimization and CDM ESD Protection in 90 nm CMOS</t>
  </si>
  <si>
    <t>Ming-Hsien Tsai, Shawn S. H. Hsu</t>
  </si>
  <si>
    <t>10/2011</t>
  </si>
  <si>
    <r>
      <t>This letter presents a </t>
    </r>
    <r>
      <rPr>
        <i/>
        <sz val="11"/>
        <color rgb="FF333333"/>
        <rFont val="Calibri"/>
        <family val="2"/>
        <scheme val="minor"/>
      </rPr>
      <t>g</t>
    </r>
    <r>
      <rPr>
        <sz val="11"/>
        <color rgb="FF333333"/>
        <rFont val="Calibri"/>
        <family val="2"/>
        <scheme val="minor"/>
      </rPr>
      <t> </t>
    </r>
    <r>
      <rPr>
        <sz val="8"/>
        <color rgb="FF333333"/>
        <rFont val="Calibri"/>
        <family val="2"/>
        <scheme val="minor"/>
      </rPr>
      <t>m</t>
    </r>
    <r>
      <rPr>
        <sz val="11"/>
        <color rgb="FF333333"/>
        <rFont val="Calibri"/>
        <family val="2"/>
        <scheme val="minor"/>
      </rPr>
      <t> </t>
    </r>
    <r>
      <rPr>
        <sz val="8"/>
        <color rgb="FF333333"/>
        <rFont val="Calibri"/>
        <family val="2"/>
        <scheme val="minor"/>
      </rPr>
      <t>''</t>
    </r>
    <r>
      <rPr>
        <sz val="11"/>
        <color rgb="FF333333"/>
        <rFont val="Calibri"/>
        <family val="2"/>
        <scheme val="minor"/>
      </rPr>
      <t> -cancellation range extension method with bulk-bias control that was applied to a Multiple Gated Transistors (MGTR) technique, which is a linearity enhancement technique for RF amplifiers. Instead of adjusting the gate-biasing voltage of the auxiliary transistor (AT) (V </t>
    </r>
    <r>
      <rPr>
        <sz val="8"/>
        <color rgb="FF333333"/>
        <rFont val="Calibri"/>
        <family val="2"/>
        <scheme val="minor"/>
      </rPr>
      <t>shift</t>
    </r>
    <r>
      <rPr>
        <sz val="11"/>
        <color rgb="FF333333"/>
        <rFont val="Calibri"/>
        <family val="2"/>
        <scheme val="minor"/>
      </rPr>
      <t> ) in conventional </t>
    </r>
    <r>
      <rPr>
        <i/>
        <sz val="11"/>
        <color rgb="FF333333"/>
        <rFont val="Calibri"/>
        <family val="2"/>
        <scheme val="minor"/>
      </rPr>
      <t>g</t>
    </r>
    <r>
      <rPr>
        <sz val="11"/>
        <color rgb="FF333333"/>
        <rFont val="Calibri"/>
        <family val="2"/>
        <scheme val="minor"/>
      </rPr>
      <t> </t>
    </r>
    <r>
      <rPr>
        <sz val="8"/>
        <color rgb="FF333333"/>
        <rFont val="Calibri"/>
        <family val="2"/>
        <scheme val="minor"/>
      </rPr>
      <t>m</t>
    </r>
    <r>
      <rPr>
        <sz val="11"/>
        <color rgb="FF333333"/>
        <rFont val="Calibri"/>
        <family val="2"/>
        <scheme val="minor"/>
      </rPr>
      <t> </t>
    </r>
    <r>
      <rPr>
        <sz val="8"/>
        <color rgb="FF333333"/>
        <rFont val="Calibri"/>
        <family val="2"/>
        <scheme val="minor"/>
      </rPr>
      <t>''</t>
    </r>
    <r>
      <rPr>
        <sz val="11"/>
        <color rgb="FF333333"/>
        <rFont val="Calibri"/>
        <family val="2"/>
        <scheme val="minor"/>
      </rPr>
      <t> -cancellation, we propose to use the bulk-biasing voltage, V </t>
    </r>
    <r>
      <rPr>
        <sz val="8"/>
        <color rgb="FF333333"/>
        <rFont val="Calibri"/>
        <family val="2"/>
        <scheme val="minor"/>
      </rPr>
      <t>BS</t>
    </r>
    <r>
      <rPr>
        <sz val="11"/>
        <color rgb="FF333333"/>
        <rFont val="Calibri"/>
        <family val="2"/>
        <scheme val="minor"/>
      </rPr>
      <t> , which allows for range extension of the </t>
    </r>
    <r>
      <rPr>
        <i/>
        <sz val="11"/>
        <color rgb="FF333333"/>
        <rFont val="Calibri"/>
        <family val="2"/>
        <scheme val="minor"/>
      </rPr>
      <t>g</t>
    </r>
    <r>
      <rPr>
        <sz val="11"/>
        <color rgb="FF333333"/>
        <rFont val="Calibri"/>
        <family val="2"/>
        <scheme val="minor"/>
      </rPr>
      <t> </t>
    </r>
    <r>
      <rPr>
        <sz val="8"/>
        <color rgb="FF333333"/>
        <rFont val="Calibri"/>
        <family val="2"/>
        <scheme val="minor"/>
      </rPr>
      <t>m</t>
    </r>
    <r>
      <rPr>
        <sz val="11"/>
        <color rgb="FF333333"/>
        <rFont val="Calibri"/>
        <family val="2"/>
        <scheme val="minor"/>
      </rPr>
      <t> </t>
    </r>
    <r>
      <rPr>
        <sz val="8"/>
        <color rgb="FF333333"/>
        <rFont val="Calibri"/>
        <family val="2"/>
        <scheme val="minor"/>
      </rPr>
      <t>''</t>
    </r>
    <r>
      <rPr>
        <sz val="11"/>
        <color rgb="FF333333"/>
        <rFont val="Calibri"/>
        <family val="2"/>
        <scheme val="minor"/>
      </rPr>
      <t> -cancellation of AT. The proposed technique does not require any other additional biasing circuits and has the benefit of consuming less power. The proposed low noise amplifier (LNA) is implemented in 0.18 μm 1-poly-6-metal CMOS technology. Our results show that the LNA achieves a noise figure of 1.76 dB, a +12.45 dBm input third order intercept point (IIP3), and a 15 dB power gain at 0.9 GHz, with the core LNA consuming 4.5 mA from a 1.5 V power supply.</t>
    </r>
  </si>
  <si>
    <t>A 6.75 mW+12.45 dBm IIP3 1.76 dB NF 0.9 GHz CMOS LNA Employing Multiple Gated Transistors With Bulk-Bias Control</t>
  </si>
  <si>
    <t>11/2011</t>
  </si>
  <si>
    <t>A 60 GHz low-noise amplifier (LNA) implemented in a 65 nm CMOS process is presented. Due to the use of a gain-boosted input stage and binary controlled attenuators, the LNA exhibits a broadband response and four programmable gain levels from 18.9 to 7.9 dB while maintaining impedance matching at the 60 GHz frequency band. The fabricated circuit consumes a dc current of 25 mA from a 1.8 V supply.</t>
  </si>
  <si>
    <t>A 60 GHz Broadband Low-Noise Amplifier With Variable-Gain Control in 65 nm CMOS</t>
  </si>
  <si>
    <t>Yi-Keng Hsieh, Jing-Lin Kuo, Huei Wang, Liang-Hung Lu</t>
  </si>
  <si>
    <t>**(This LNA has variable gain control, that are not included here)</t>
  </si>
  <si>
    <t>A CMOS self-tuned low noise amplifier (LNA) with single-to-differential function is presented. A tuned LNA with high-Q band-pass filtering is reconfigured to an oscillator simply by enabling a positive feedback buffer. Using the proposed LNA, an RF filter can be self-tuned without additional tone-generator circuits, and the calibration system is greatly simplified. By adopting a differential hybrid voltage buffer, differential imbalance is minimized. For a proof-of-concept, the proposed LNA is implemented using a 0.18 μm CMOS process. The circuit operates in a tuning range of 0.8-1.5 GHz, while the error between oscillation and center frequency is less than 5%. A pass band gain of 26.7-30 dB, a noise figure (NF) of 3.9-4.3 dB, and an in/out band IIP3 of -9.9/+10.6 dBm are obtained. The LNA consumes 9 mA with 1.8 V supply.</t>
  </si>
  <si>
    <t>A Self-Tuned Balun-LNA With Differential Imbalance Correction and Blocker Filtering</t>
  </si>
  <si>
    <t>Jaeyoung Choi, Donggu Im, Kwyro Lee</t>
  </si>
  <si>
    <t>12/2011</t>
  </si>
  <si>
    <t>**(This is a tunable LNA from 0.8Ghz to 1.5Ghz)</t>
  </si>
  <si>
    <t>03/2012</t>
  </si>
  <si>
    <t>An ultra-low-power 60 GHz low-noise amplifier (LNA) with a 12.5 dB peak gain and a 5.4 dB minimum NF is demonstrated in a 90 nm CMOS technology. The LNA is composed of four cascaded common-source stages with the gate-source transformer feedback applied to the input stage for simultaneous noise and input matching. Also, the drain-source transformer feedback is used in the following stages for gain enhancement and interstage/output matching. This LNA consumes only 4.4 mW from a 1 V supply with a compact core area of 0.047 .</t>
  </si>
  <si>
    <t>An Ultra-Low-Power Transformer-Feedback 60 GHz Low-Noise Amplifier in 90 nm CMOS</t>
  </si>
  <si>
    <t>Po-Yu Chang, Sy-Haur Su, Shawn S. H. Hsu, et.al</t>
  </si>
  <si>
    <t>04/2012</t>
  </si>
  <si>
    <t>A 5 GHz CMOS LNA featuring a record 0.95 dB noise-figure is reported. Using an inductively-degenerated cascode topology combined with floating-body transistors and high-Q passives on an SOI substrate, record noise figure and superior linearity performance at 5 GHz are obtained. The low-noise amplifier (LNA) achieves up to 11 dB of gain while consuming 12 mW dc power, and is capable of supporting 802.11a WLAN applications. The impact of SOI body-contact on the LNA RF performance is described and linked to improved intermodulation performance.</t>
  </si>
  <si>
    <t>A 5 GHz 0.95 dB NF Highly Linear Cascode Floating-Body LNA in 180 nm SOI CMOS Technology</t>
  </si>
  <si>
    <t>Anuj Madan, Michael J. McPartlin, Christophe Masse, et.al</t>
  </si>
  <si>
    <r>
      <t>This letter presents a wideband low-noise amplifier (LNA) which utilizes g </t>
    </r>
    <r>
      <rPr>
        <sz val="8"/>
        <color rgb="FF333333"/>
        <rFont val="Calibri"/>
        <family val="2"/>
        <scheme val="minor"/>
      </rPr>
      <t>m</t>
    </r>
    <r>
      <rPr>
        <sz val="11"/>
        <color rgb="FF333333"/>
        <rFont val="Calibri"/>
        <family val="2"/>
        <scheme val="minor"/>
      </rPr>
      <t> -boosted and noise-reduction techniques. The proposed DC-coupled 2-stage LNA employs an error amplifier to cancel the DC-offset voltage between the differential DC-coupled paths. The LNA is implemented in 90-nm digital CMOS technology. Within 0.2-2.6 GHz wideband applications, the LNA achieves 24 dB voltage gain, 1.9-2.9 dB NF, - 3 dBm IIP3. The core power of the LNA draws 9 mA from 1V supply voltage and occupies 0.046 mm</t>
    </r>
    <r>
      <rPr>
        <sz val="8"/>
        <color rgb="FF333333"/>
        <rFont val="Calibri"/>
        <family val="2"/>
        <scheme val="minor"/>
      </rPr>
      <t>2</t>
    </r>
    <r>
      <rPr>
        <sz val="11"/>
        <color rgb="FF333333"/>
        <rFont val="Calibri"/>
        <family val="2"/>
        <scheme val="minor"/>
      </rPr>
      <t> .</t>
    </r>
  </si>
  <si>
    <t>A 0.2–2.6 GHz Wideband Noise-Reduction Gm-Boosted LNA</t>
  </si>
  <si>
    <t>Hua-Chin Lee, Chao-Shiun Wang, Chorng-Kuang Wang</t>
  </si>
  <si>
    <t>05/2012</t>
  </si>
  <si>
    <t>07/2012</t>
  </si>
  <si>
    <t>**(This is a VGLNA)</t>
  </si>
  <si>
    <t>In this letter, a 60 to 77 GHz switchable low-noise amplifier is presented. The IC is realized in a radio frequency microelectromechanical systems embedded 0.25 μm SiGe-C BiCMOS technology. Measured results show that the presented IC achieves good performance in both frequency bands in terms of gain, noise figure and power consumption. These results demonstrate the successful monolithic integration of RF-MEMS switches with active devices, and a first time implementation of a reconfigurable low noise amplifier at such high frequencies.</t>
  </si>
  <si>
    <t>A 60 to 77 GHz Switchable LNA in an RF-MEMS Embedded BiCMOS Technology</t>
  </si>
  <si>
    <t>Ahmet Çagrı Ulusoy ˘, Mehmet Kaynak, Tatyana Purtova, et.al</t>
  </si>
  <si>
    <t>08/2012</t>
  </si>
  <si>
    <r>
      <t>By the electrostatic discharge (ESD)/matching co-design methodology, a wideband low-noise amplifier (LNA) using a grounded spiral inductor in conjunction with a MOM capacitor for ESD protection and wideband matching is demonstrated in a 65 nm CMOS. The shunt inductor provides an effective bidirectional ESD protection to the ground and the series capacitor greatly enhances the breakdown level in the current discharge path. The measurement results demonstrate an over 8 kV human-body-model ESD protection level with almost no RF characteristic degradation after ESD zapping. Under a power consumption of 5.6 mW, the ESD-protected LNA presents a flat </t>
    </r>
    <r>
      <rPr>
        <i/>
        <sz val="11"/>
        <color rgb="FF333333"/>
        <rFont val="Calibri"/>
        <family val="2"/>
        <scheme val="minor"/>
      </rPr>
      <t>NF</t>
    </r>
    <r>
      <rPr>
        <sz val="11"/>
        <color rgb="FF333333"/>
        <rFont val="Calibri"/>
        <family val="2"/>
        <scheme val="minor"/>
      </rPr>
      <t> and power gain of 3.3-3.9 dB and 16.6-17.9 dB, respectively, in the frequency range of 18.5-24.5 GHz, and a 3 dB bandwidth of 17.5-26 GHz is achieved.</t>
    </r>
  </si>
  <si>
    <t>A 17.5–26 GHz Low-Noise Amplifier With Over 8 kV ESD Protection in 65 nm CMOS</t>
  </si>
  <si>
    <t>09/2012</t>
  </si>
  <si>
    <t>A five-stage differential SiGe low noise amplifier (LNA) in cascode topology is presented. Transformer coupling is used between the stages to obtain inter-stage matching. The single ended input and output of the LNA are realized by baluns. The LNA has 18 dB of gain at 245 GHz and a 3 dB bandwidth of 8 GHz. A noise figure of 11 ±1 dB NF of the LNA at 245 GHz was measured by the Y-factor method. These values represent the highest gain and the lowest measured noise figure at 245 GHz reported for a SiGe LNA so far. The LNA draws 82 mA at a supply voltage of 3.7 V.</t>
  </si>
  <si>
    <t>A 245 GHz LNA in SiGe Technology</t>
  </si>
  <si>
    <t>Klaus Schmalz, Johannes Borngräber, Yanfei Mao, et.al</t>
  </si>
  <si>
    <t>10/2012</t>
  </si>
  <si>
    <t>This letter discusses a wideband inductorless low-noise amplifier (LNA) that incorporates a new active -C element, which draws 170 μA of current. A 10 MHz-2.8 GHz proof-of-concept LNA in 65 nm CMOS is proposed. The LNA itself is power- and noise- matched and achieves noise figures as low as 1 dB, voltage gain of 32 dB and IIP3 of - 13.6 dBm.</t>
  </si>
  <si>
    <t>Wideband LNA With an Active -C Element</t>
  </si>
  <si>
    <t>Leonid Belostotski, Arjuna Madanayake, Leonard T. Bruton</t>
  </si>
  <si>
    <t>In this letter, a high-gain and selectivity W-band LNA using 0.13 μm SiGe BiCMOS is proposed. A Q-enhanced cascode approach with a filter synthesis passband-forming technique was employed to achieve gain and selectivity improvement simultaneously. The amplifier achieved a gain of above 45 dB and a noise figure of 6-8.3 dB at 77-101 GHz with a power consumption of 19.2 mW. The LNA has high selectivity with a 3 dB-to-35 dB shape factor of 2.1, which is comparable with silicon-based passive millimeter-wave filters</t>
  </si>
  <si>
    <t>A 19.2 mW,&gt;45 dBGain and High-Selectivity 94 GHz LNA in 0.13μmSiGe BiCMOS</t>
  </si>
  <si>
    <t>Xiaojun Bi, Yongxin Guo, Yong Zhong Xiong, et.al</t>
  </si>
  <si>
    <t>05/2013</t>
  </si>
  <si>
    <t>For use in a millimeter-wave direct detection radiometer for earth remote sensing, we have developed a low-noise amplifier (LNA) module with a small-signal gain of 19.5 dB at 243 GHz and a 3 dB bandwidth of 40 GHz. The implemented three-stage LNA MMIC has been manufactured using a 50 nm gate length metamorphic HEMT (mHEMT) technology on 50 μm thick GaAs substrates. Each of the two on-chip integrated E-plane probe waveguide transitions offers a transmission loss of only 0.5 dB at 243 GHz including a 7.5 mm long WR-3.4 waveguide. Due to the low-loss packaging, the LNA module achieves a low noise figure of only 6.0 dB at room temperature.</t>
  </si>
  <si>
    <t>A 243 GHz LNA Module Based on mHEMT MMICs With Integrated Waveguide Transitions</t>
  </si>
  <si>
    <t>V. Hurm, R. Weber, A. Tessmann, et.al</t>
  </si>
  <si>
    <t>09/2013</t>
  </si>
  <si>
    <t>A linearized ultra-wideband (UWB) CMOS low noise amplifier (LNA) is proposed. The linearity is improved by a post distortion technique, employing PMOS as an auxiliary FET to cancel the second- and the third-order nonlinear currents of common-gate LNA. A three-section band-pass Chebyshev filter is presented for wideband input matching. The LNA implemented in a 0.18 μm CMOS technology demonstrates that IIP3 and IIP2 have about 9 and 6.9 dB improvements in broad frequency range, respectively. Power gain of 9.6-12.6 dB and noise figure (NF) of 3.9-5.8 dB are obtained in the frequency range of 1.6-9.7 GHz with a power dissipation of 10.6 mW under a 1.8 V power supply.</t>
  </si>
  <si>
    <t>A 1.6–9.7 GHz CMOS LNA Linearized by Post Distortion Technique</t>
  </si>
  <si>
    <t>Benqing Guo, Xiaolei Li</t>
  </si>
  <si>
    <t>11/2013</t>
  </si>
  <si>
    <r>
      <t>A compact self-biased wideband low noise amplifier (LNA) is realized in Global Foundries 65 nm CMOS technology. Wideband input matching characteristic is achieved by placing a series gate inductor and a parallel tuning capacitor in the resistive-feedback network. Combined with the inductive-series peaking technique which further extends the bandwidth, the proposed cascaded three-stage resistive-feedback amplifier obtains a large operating bandwidth which is comparable with the distributed amplifier. Measurement shows that the proposed amplifier achieves a power gain of 10±1.5 dB with I/O return losses better than 8 dB and noise figure ranging from 4.5 to 6.8 dB between 2.1-39 GHz. The maximum output P1dB and input third-order intercept (IIP3) are -6.5 dBm and -5.7 dBm, respectively. The fabricated LNA occupies a silicon area of 0.16 mm </t>
    </r>
    <r>
      <rPr>
        <sz val="8"/>
        <color rgb="FF333333"/>
        <rFont val="Calibri"/>
        <family val="2"/>
        <scheme val="minor"/>
      </rPr>
      <t>2</t>
    </r>
    <r>
      <rPr>
        <sz val="11"/>
        <color rgb="FF333333"/>
        <rFont val="Calibri"/>
        <family val="2"/>
        <scheme val="minor"/>
      </rPr>
      <t> including all testing pads and draws 17 mA from a 1.5 V power supply.</t>
    </r>
  </si>
  <si>
    <t>A Compact 2.1–39 GHz Self-Biased Low-Noise Amplifier in 65 nm CMOS Technology</t>
  </si>
  <si>
    <t>Chen Feng, Xiao Peng Yu, Wei Meng Lim, Kiat Seng Yeo</t>
  </si>
  <si>
    <t>12/2013</t>
  </si>
  <si>
    <r>
      <t>A low noise-figure (NF) and high power gain (S21) 3 ~ 10 GHz ultra-wideband low-noise amplifier (UWB LNA) with excellent phase linearity using 0.18 μm CMOS technology is reported. An enhanced π-match input network is used to achieve wideband input impedance matching as well as high and flat S </t>
    </r>
    <r>
      <rPr>
        <sz val="8"/>
        <color rgb="FF333333"/>
        <rFont val="Calibri"/>
        <family val="2"/>
        <scheme val="minor"/>
      </rPr>
      <t>21</t>
    </r>
    <r>
      <rPr>
        <sz val="11"/>
        <color rgb="FF333333"/>
        <rFont val="Calibri"/>
        <family val="2"/>
        <scheme val="minor"/>
      </rPr>
      <t> . To achieve low and flat NF, the pole frequency and pole quality factor of the second-order NF frequency response are tuned to approximate the maximally flat condition. The LNA consumes 18 mW, achieving S </t>
    </r>
    <r>
      <rPr>
        <sz val="8"/>
        <color rgb="FF333333"/>
        <rFont val="Calibri"/>
        <family val="2"/>
        <scheme val="minor"/>
      </rPr>
      <t>11</t>
    </r>
    <r>
      <rPr>
        <sz val="11"/>
        <color rgb="FF333333"/>
        <rFont val="Calibri"/>
        <family val="2"/>
        <scheme val="minor"/>
      </rPr>
      <t>better than -10 dB for frequency lower than 12.2 GHz and group-delay (GD) variation smaller than ±14.6 ps for frequencies 3 ~ 10 GHz. Additionally, high and flat S </t>
    </r>
    <r>
      <rPr>
        <sz val="8"/>
        <color rgb="FF333333"/>
        <rFont val="Calibri"/>
        <family val="2"/>
        <scheme val="minor"/>
      </rPr>
      <t>21</t>
    </r>
    <r>
      <rPr>
        <sz val="11"/>
        <color rgb="FF333333"/>
        <rFont val="Calibri"/>
        <family val="2"/>
        <scheme val="minor"/>
      </rPr>
      <t> of 13.7 ± 1.5 dB is achieved for frequencies 1 ~ 12.5 GHz, which means the corresponding 3-dB bandwidth is 11.5 GHz. Furthermore, the LNA achieves minimum NF of 2.2 dB at 4 GHz and NF of 2.3 ± 0.1 dB for frequencies of 3 ~ 10 GHz, one of the best NF results ever reported for a 3 ~ 10 GHz CMOS LNA.</t>
    </r>
  </si>
  <si>
    <t>High-Performance Wideband Low-Noise Amplifier Using Enhanced π-Match Input Network</t>
  </si>
  <si>
    <t>Yo-Sheng Lin, Chien-Chin Wang, Guan-Lin Lee, Chih-Chung Chen</t>
  </si>
  <si>
    <t>03/2014</t>
  </si>
  <si>
    <r>
      <t>An ultra-low-power common-gate low noise amplifier (CG-LNA) for 2.4 GHz wireless sensor network (WSN) applications is proposed in this letter. The current-reuse and active gm-boosting techniques are utilized. The analysis, design method and measurement results are shown. An implemented prototype using 0.18 μm CMOS technology is evaluated using on-wafer probing. Measurements also show a gain of 14.7 dB and an IIP3 of 2 dBm at 2.44 GHz. The measured noise figure is 4.8 dB at 2.44 GHz. S </t>
    </r>
    <r>
      <rPr>
        <sz val="8"/>
        <color rgb="FF333333"/>
        <rFont val="Calibri"/>
        <family val="2"/>
        <scheme val="minor"/>
      </rPr>
      <t>11</t>
    </r>
    <r>
      <rPr>
        <sz val="11"/>
        <color rgb="FF333333"/>
        <rFont val="Calibri"/>
        <family val="2"/>
        <scheme val="minor"/>
      </rPr>
      <t> is below -18 dB from 2-3 GHz. The proposed LNA consumes 0.58 mW from 1.8 V dc supply.</t>
    </r>
  </si>
  <si>
    <t>A 2.4 GHz Ultra-Low-Power Current-Reuse CG-LNA With Active Gm -Boosting Technique</t>
  </si>
  <si>
    <t>Zhiqun Li, Zengqi Wang, Meng Zhang, et.al</t>
  </si>
  <si>
    <t>05/2014</t>
  </si>
  <si>
    <r>
      <t>In this study, we designed a 5 GHz low-noise amplifier (LNA) with a differential structure using 0.18 μm RFCMOS technology. An input balun is embedded into the LNA to enhance the gain, minimize the noise figure (NF), and miniaturize the overall chip size. The NF is minimized because the loss induced by the passive balun is removed. The first stage of the designed LNA performs the activities of the input balun and serves as the gain stage. To verify the feasibility of the proposed input-balun-embedded amplifier, we designed a typical LNA and the proposed LNA. We obtained a 29.4 dB gain with a NF of 1.85 dB. The measured dc power consumption is approximately 27 mW. The chip size is 1.0×0.74 mm </t>
    </r>
    <r>
      <rPr>
        <sz val="8"/>
        <color rgb="FF333333"/>
        <rFont val="Calibri"/>
        <family val="2"/>
        <scheme val="minor"/>
      </rPr>
      <t>2</t>
    </r>
    <r>
      <rPr>
        <sz val="11"/>
        <color rgb="FF333333"/>
        <rFont val="Calibri"/>
        <family val="2"/>
        <scheme val="minor"/>
      </rPr>
      <t> . From the measured results of the typical and proposed LNAs, we successfully prove the feasibility of the proposed method to minimize the NF and enhance the gain.</t>
    </r>
  </si>
  <si>
    <t>Input Balun Embedded Low-Noise Amplifier With a Differential Structure</t>
  </si>
  <si>
    <t>Jaehyuk Yoon, Changkun Park</t>
  </si>
  <si>
    <t>06/2014</t>
  </si>
  <si>
    <t>This study presents an inverter-based inductorless single-to-differential (S2D) wideband low-noise amplifier (LNA). The proposed LNA has three inverter-based gain stages with a global shunt feedback resistor for wideband input impedance matching. Moreover, a shunt capacitor with a current bias transistor in the third gain stage enhances the gain/phase imbalances and the linearity of the pseudo-differential outputs. When implemented in a TSMC 0.18- μm CMOS process, this wideband LNA covering DC-1.4 GHz achieves a S21 of 16.4 dB, a minimal input third-order intercept point (IIP3) of -13.3 dBm, and a minimal noise figure (with output buffers) of 3 dB. The output gain and phase imbalances are less than 1 dB and 2.5°, respectively, within 1 GHz. The chip consumes 12.8 mW from a 1.8 V supply.</t>
  </si>
  <si>
    <t>A Wideband Inductorless Single-to-Differential LNA in 0.18μm CMOS Technology for Digital TV Receivers</t>
  </si>
  <si>
    <t>Jenny Yi-Chun Liu, Jian-Shou Chen, Chin Hsia, et.al</t>
  </si>
  <si>
    <t>07/2014</t>
  </si>
  <si>
    <t>In this study, we design a differential low-noise amplifier (LNA) using a 0.18- μm RF CMOS process. To improve its linearity, we propose a harmonic rejection technique using RC feedback at the gain stage. The third harmonic component of the drain node of the common-gate transistor is fed back to the source node of the common-gate transistor to restrict the generation of the third harmonic component at the output of the LNA. To verify the feasibility of the proposed technique for a linear amplifier, we designed a typical LNA and the proposed LNA in an identical process and with the same design parameters apart from the feedback loop of the proposed LNA. The measured improvement of the input-referred P1 dB of the proposed LNA is approximately 3 dB compared to that of the typical LNA. From these measured results, we successfully prove the feasibility of the proposed linearization technique.</t>
  </si>
  <si>
    <t>A CMOS LNA Using a Harmonic Rejection Technique to Enhance Its Linearity</t>
  </si>
  <si>
    <t>09/2014</t>
  </si>
  <si>
    <t>An X-Band switchless bidirectional amplifier (BDA) in a 0.25 μm gallium-nitride (GaN) on SiC process is introduced. The proposed bidirectional amplifier comprises of a 1 W power amplifier (PA) and a low noise amplifier (LNA) for T/R modules of phased array systems without any aid of switches. In receive mode, the BDA has flat gain of 20.2±1 dB and shows wideband input matching at 8 to 12 GHz. The minimum noise figure is 4.3 dB at 10.4 GHz and below 5 dB across the X-Band. In transmit mode, the small signal gain of the PA is 27±3 dB, its P1 dB is about 27 dBm, and its saturated output power is over 30 dBm at 8 to 12 GHz. The PA consumes 220 mA of quiescent current with 20 V power supply. While one mode is working, the other mode transistors are off and their parasitic capacitance has been already considered in design stage to minimize performance degradation and leakage. The total chip size is 2.5 mm×1.87 mm including pads.</t>
  </si>
  <si>
    <t>An X-Band Switchless Bidirectional GaN MMIC Amplifier for Phased Array Systems</t>
  </si>
  <si>
    <t>Dongmin Kim, Dong-Ho Lee, Sanghoon Sim, et.al</t>
  </si>
  <si>
    <t>12/2014</t>
  </si>
  <si>
    <t>A 1 V supply voltage, 10-22 GHz wideband low-power low noise amplifier (LNA) is implemented in a 0.13 μm SiGe BiCMOS technology, targeting portable single-chip remote sensing radar application. This LNA exhibits a measured gain of 15.5 dB at 16 GHz and a -3 dB bandwidth of 12 GHz, while dissipating only 4 mA from a 1 V supply, with intentionally biasing the HBTs in weak saturation. The LNA has a measured noise figure (NF) of 3.4 dB at 16 GHz and less than 4.4 dB across the operating bandwidth of 10 to 22 GHz. In addition, the LNA design offers a reduced bandwidth operational mode of 10-16 GHz for interference reduction, bringing the power consumption further down to only 3 mW.</t>
  </si>
  <si>
    <t>A 1.0 V, 10–22 GHz, 4 mW LNA Utilizing Weakly Saturated SiGe HBTs for Single-Chip, Low-Power, Remote Sensing Applications</t>
  </si>
  <si>
    <t>Farzad Inanlou, Christopher T. Coen, John D. Cressler</t>
  </si>
  <si>
    <r>
      <t>This letter presents a wideband 2-stage differential LNA which utilizes the canceling techniques of IM3 harmonic distortion and noise. The 1st stage adopts a gm-boosted cross-coupled push-pull amplifier to achieve an input matching and reduce the NF. The 2nd stage simultaneously cancels the IM3 and thermal noise of the transistors in the 1st stage. The LNA has a gain of 16~18 dB in a wide bandwidth of 0.1~2.5 GHz, while consuming 13 mW from a 1.2 V power supply. The NF is 1.7~2.7 dB and IIP3/IIP2 are -3 ~ 0/18~21.5 dBm, respectively. The LNA is fabricated in 65 nm digital CMOS technology and the chip area is 0.008 mm</t>
    </r>
    <r>
      <rPr>
        <sz val="8"/>
        <color rgb="FF333333"/>
        <rFont val="Calibri"/>
        <family val="2"/>
        <scheme val="minor"/>
      </rPr>
      <t>2</t>
    </r>
    <r>
      <rPr>
        <sz val="11"/>
        <color rgb="FF333333"/>
        <rFont val="Calibri"/>
        <family val="2"/>
        <scheme val="minor"/>
      </rPr>
      <t>.</t>
    </r>
  </si>
  <si>
    <t>A Wideband Differential Low-Noise-Amplifier With IM3 Harmonics and Noise Canceling</t>
  </si>
  <si>
    <t>Hankyu Lee, Taeyoung Chung, Heesong Seo, et.al</t>
  </si>
  <si>
    <t>01/2015</t>
  </si>
  <si>
    <r>
      <t>A D-band low-noise amplifier with gain boosting is implemented in a 0.13 μm SiGe BiCMOS technology, occupying 0.4 mm </t>
    </r>
    <r>
      <rPr>
        <sz val="8"/>
        <color rgb="FF333333"/>
        <rFont val="Calibri"/>
        <family val="2"/>
        <scheme val="minor"/>
      </rPr>
      <t>2</t>
    </r>
    <r>
      <rPr>
        <sz val="11"/>
        <color rgb="FF333333"/>
        <rFont val="Calibri"/>
        <family val="2"/>
        <scheme val="minor"/>
      </rPr>
      <t> of IC area. The circuit consists of two stages of cascode amplifiers with inductive common-base termination, which improves the gain by increasing the output impedance. The measurements show more than 20 dB gain from 110 to 140 GHz, consuming 12 mW of total dc power from a single voltage supply of 2.0 V. The measured noise figure is within 5.5 to 6.5 dB in the same frequency range. To the authors' knowledge, these results demonstrate the best silicon low-noise amplifier performance up to date in this frequency range.</t>
    </r>
  </si>
  <si>
    <t>A SiGe D-Band Low-Noise Amplifier Utilizing Gain-Boosting Technique</t>
  </si>
  <si>
    <t>A. Çağri Ulusoy, Peter Song, Wasif T. Khan, et.al</t>
  </si>
  <si>
    <t>In this letter, the first packaged THz solid-state amplifier operating at 0.85 THz is reported. The InP HEMT amplifier achieves a noise figure as low as 11.1 dB with an associated gain of 13.6 dB at 0.85 THz using high fMAX InP HEMT transistors in a 10-stage coplanar waveguide integrated circuit. Output power up to 0.93 mW is measured.</t>
  </si>
  <si>
    <t>A 0.85 THz Low Noise Amplifier Using InP HEMT Transistors</t>
  </si>
  <si>
    <t>Kevin M. K. H. Leong, Xiaobing Mei, Wayne Yoshida, et.al</t>
  </si>
  <si>
    <t>06/2015</t>
  </si>
  <si>
    <r>
      <t>This letter presents a wideband noise-canceling LNA focusing on canceling IMD2 and IMD3. By using a complementary CMOS parallel push-pull structure, the IMD2 is cancelled. The modified noise-canceling circuit properly suppresses the IMD3. Although the optimum canceling points for the noise and distortions are different, the noise figure is not degraded by the choice. The LNA implemented in a 65 nm CMOS process delivers an IIP2 of 25 dBm, an IIP3 of 5.5 dBm with a power gain of 13 dB and an noise figure of 2.1-3.5 dB in a frequency range from 0.1 to 1.6 GHz. The power consumption is 20.8 mW at 1.2 V and the chip area is only 0.014 mm</t>
    </r>
    <r>
      <rPr>
        <sz val="8"/>
        <color rgb="FF333333"/>
        <rFont val="Calibri"/>
        <family val="2"/>
        <scheme val="minor"/>
      </rPr>
      <t>2</t>
    </r>
    <r>
      <rPr>
        <sz val="11"/>
        <color rgb="FF333333"/>
        <rFont val="Calibri"/>
        <family val="2"/>
        <scheme val="minor"/>
      </rPr>
      <t>.</t>
    </r>
  </si>
  <si>
    <t>A Wideband CMOS Noise-Canceling Low-Noise Amplifier With High Linearity</t>
  </si>
  <si>
    <t>Taeyoung Chung, Hankyu Lee, Daechul Jeong, et.al</t>
  </si>
  <si>
    <t>08/2015</t>
  </si>
  <si>
    <t>This letter presents a 183 GHz low-noise amplifier (LNA), designed primarily for water vapor detection in atmosphere. The LNA requirements were defined by MetOp Second Generation (MetOp-SG) Microwave Sounder, Microwave Imager and Ice Cloud Imager instruments. MetOp-SG is the European contribution to operational meteorological observations from polar orbit. This LNA advances the current state-of-the-art for the InGaAs metamorphic high electron mobility transistor (mHEMT) technology. The five-stage common-source MMIC amplifier utilizes transistors with a gate length of 50 nm. On-wafer measurements show a noise figure of 3.5 dB at the operative frequency, about 1 dB lower than previously reported mHEMT LNAs, and a gain of 24±2 dB over the bandwidth 160-200 GHz. The input and output matching are -11 dB and -10 dB, respectively. Moreover, the dc power dissipation at the optimal bias for noise is as low as 24 mW.</t>
  </si>
  <si>
    <t>A 183 GHz Metamorphic HEMT Low-Noise Amplifier With 3.5 dB Noise Figure</t>
  </si>
  <si>
    <t>Giuseppe Moschetti, Arnulf Leuther, Herman Maßler, et.al</t>
  </si>
  <si>
    <t>09/2015</t>
  </si>
  <si>
    <t>This letter presents an L-band highly linear differential low noise amplifier (LNA) in a standard 90-nm CMOS process. A wide range derivative superposition technique is proposed to maximize the third-order intercept point (IP3), and at the same time, minimize the third-order intermodulation distortion (IMD3) over a wide input power range. The LNA chip achieves a measured OIP3 of +33.7 dBm and IMD3 of -65 dBc with -15 dBm input power. The measured peak gain and minimum noise figure are 15.4 dB and 1.36 dB at 1.27 GHz, respectively. The LNA chip consumes 40 mA from a 3.3-V supply.</t>
  </si>
  <si>
    <t>A Highly Linear Low Noise Amplifier With Wide Range Derivative Superposition Method</t>
  </si>
  <si>
    <t>Wei Gao, Zhiming Chen, Zicheng Liu, et.al</t>
  </si>
  <si>
    <t>12/2015</t>
  </si>
  <si>
    <r>
      <t>This letter presents a wideband millimeter-wave low-noise amplifier (LNA) in a 65 nm CMOS technology. The amplifier adopts five-stage cascode topology with L-type input matching and T-type output matching. By distributing the peak gains of first four stages at two frequency points, the LNA achieves a flat gain response over a wide bandwidth. The measurement results show that the amplifier features a peak gain of 16.7 dB at 104 GHz, a minimum NF of 7.2 dB, and a 3 dB bandwidth of 21.5 GHz. The LNA consumes 48.6 mW and occupies a compact core area of 0.05 mm </t>
    </r>
    <r>
      <rPr>
        <sz val="8"/>
        <color rgb="FF333333"/>
        <rFont val="Calibri"/>
        <family val="2"/>
        <scheme val="minor"/>
      </rPr>
      <t>2</t>
    </r>
    <r>
      <rPr>
        <sz val="11"/>
        <color rgb="FF333333"/>
        <rFont val="Calibri"/>
        <family val="2"/>
        <scheme val="minor"/>
      </rPr>
      <t> .</t>
    </r>
  </si>
  <si>
    <t>An 88.5–110 GHz CMOS Low-Noise Amplifier for Millimeter-Wave Imaging Applications</t>
  </si>
  <si>
    <t>02/2016</t>
  </si>
  <si>
    <t>This paper presents a high-gain power-efficient wideband V-band low noise amplifier (LNA) realized in 0.18- μm SiGe BiCMOS process. An effective wideband gain shaping method with gain enhancement under low power consumption is employed, where the 1st and 2nd inter-stage matching (ISM) network are designed for better conjugate matching around the lower and upper 3 dB cutoff frequency ends, respectively, without giving up the gains at the opposite frequency ends for each ISM network. The developed LNA achieves the peak measured gain of 32.5 dB at 61 GHz and over 29.5 dB gain across the 3 dB bandwidth from 43 to 67 GHz while consuming only 11.7 mW at 1.8 V supply voltage. The measured average noise figure and group delay variation are 6 dB and less than 28.3 ps over the entire bandwidth, respectively.</t>
  </si>
  <si>
    <t>A High-Gain Power-Efficient Wideband V-Band LNA in 0.18-μmSiGe BiCMOS</t>
  </si>
  <si>
    <t>Sunhwan Jang, Cam Nguyen</t>
  </si>
  <si>
    <t>04/2016</t>
  </si>
  <si>
    <r>
      <t>In this letter, a packaged Low Noise Amplifier (LNA) operating at 670 GHz is presented. The LNA uses a new generation of 25 nm InP HEMT with 1.5 THz f </t>
    </r>
    <r>
      <rPr>
        <sz val="8"/>
        <color rgb="FF333333"/>
        <rFont val="Calibri"/>
        <family val="2"/>
        <scheme val="minor"/>
      </rPr>
      <t>MAX</t>
    </r>
    <r>
      <rPr>
        <sz val="11"/>
        <color rgb="FF333333"/>
        <rFont val="Calibri"/>
        <family val="2"/>
        <scheme val="minor"/>
      </rPr>
      <t> . The eight-stage amplifier shows approximately 16 dB associated gain in package with a noise figure ranging from 9.4-9.9 dB measured across a 15 GHz bandwidth. These results represent better than 3 dB improvement in sensitivity to previously published InP HEMT results, and represent the lowest measured noise figure for any LNA at this operating frequency.</t>
    </r>
  </si>
  <si>
    <t>A 670 GHz Low Noise Amplifier with &lt;10 dB Packaged Noise Figure</t>
  </si>
  <si>
    <t>W. R. Deal, A. Zamora, K. Leong, et.al</t>
  </si>
  <si>
    <t>10/2016</t>
  </si>
  <si>
    <t>Design techniques to enhance bandwidth and linearity of broadband multistage low-noise amplifiers (LNAs) are presented. A feedback amplifier circuit is proposed to compensate for transistor gain roll-off with frequency in other amplifier stages and extend overall bandwidth. Moreover, a transistor width tapering in a multistage LNA is applied to improve linearity. These techniques are adopted in a three-stage monolithic microwave integrated circuit (MMIC) LNA implemented in a 0.1-μm GaAs pHEMT process. The LNA features 18-43 GHz bandwidth, 21.6 dB average gain, and 1.8-2.7 noise figure (NF). It exhibits output 1-dB compression point of 11.5 dBm at 30 GHz and consumes 70 mA bias current from a 2-V supply.</t>
  </si>
  <si>
    <t>A Broadband Multistage LNA With Bandwidth and Linearity Enhancement</t>
  </si>
  <si>
    <t>G. Nikandish, A. Yousefi, M. Kalantari, A. Medi</t>
  </si>
  <si>
    <r>
      <t>This letter presents a high-speed and low-power consuming on-off keying (OOK) receiver implemented on 65-nm Si-CMOS process. The receiver uses OOK modulation for the low-power consumption and operates at a high-data rate due to wide-bandwidth circuitry. The receiver consists of a wideband low-noise amplifier (LNA), a gain-boosting detector and a third-order active feedback amplifier. The receiver consumes 46 mW at 1 V supply and occupies 0.64 mm2 including all pads. The receiver achieves 20 Gb/s at a bit-error rate (BER) less than 10</t>
    </r>
    <r>
      <rPr>
        <sz val="8"/>
        <color rgb="FF333333"/>
        <rFont val="Calibri"/>
        <family val="2"/>
        <scheme val="minor"/>
      </rPr>
      <t>-11</t>
    </r>
    <r>
      <rPr>
        <sz val="11"/>
        <color rgb="FF333333"/>
        <rFont val="Calibri"/>
        <family val="2"/>
        <scheme val="minor"/>
      </rPr>
      <t> for 2</t>
    </r>
    <r>
      <rPr>
        <sz val="8"/>
        <color rgb="FF333333"/>
        <rFont val="Calibri"/>
        <family val="2"/>
        <scheme val="minor"/>
      </rPr>
      <t>7</t>
    </r>
    <r>
      <rPr>
        <sz val="11"/>
        <color rgb="FF333333"/>
        <rFont val="Calibri"/>
        <family val="2"/>
        <scheme val="minor"/>
      </rPr>
      <t>-1 pseudorandom binary sequence (PRBS). The sensitivity is -29 dBm at 20 Gb/s data rate, and the energy per bit exhibits 2.3 pJ/bit. To the best of our knowledge, this receiver achieves the highest data rate at the single carrier modulation and the lowest energy per bit among the previously published millimeter-wave Si-CMOS OOK receivers.</t>
    </r>
  </si>
  <si>
    <t>An 20-Gb/s W-Band OOK CMOS Receiver for High-Speed Wireless Interconnect</t>
  </si>
  <si>
    <t>Hae-Jin Lee, Joong Geun Lee, Chae Jun Lee, et.al</t>
  </si>
  <si>
    <t>This letter presents a new tool of constant loss contours for matching network loss evaluation. With a certain source impedance, the contours illustrate the matching loss while an arbitrary load impedance is matched to the source impedance. The contours are also applied to millimeter-wave circuit design to help designers consider the circuit topologies, transistor sizes, and layout effects. A millimeter-wave CMOS low-noise amplifier has been optimized by using the constant loss contours. The measured results show a low noise figure of 4.85 dB and a gain of 21.0 dB at 79.5 GHz while only consuming 8 mW from a 1.0 V supply.</t>
  </si>
  <si>
    <t>Constant Loss Contours of Matching Networks for Millimeter-Wave LNA Design</t>
  </si>
  <si>
    <t>Chun-Lin Ko, Chun-Hsing Li, Ming-Ching Kuo, et.al</t>
  </si>
  <si>
    <t>11/2016</t>
  </si>
  <si>
    <r>
      <t>This letter presents a current-reused V-band low-noise amplifier (LNA) with a double-transformer-coupling technique in 65nm CMOS technology. A couple of common-source (CS) stages are stacked to share current, and the double transformers are used as an RF signal path between the CS stages for both gain and stability considerations. The LNA has three CS-CS stages, and achieves a peak gain of 31.4 dB, a minimum noise figure (NF) of 4.7 dB, and a P1dB of -2 dBm over 62.9-67 GHz with a power consumption of 6 mW. The chip size is 0.66 × 0.90 mm </t>
    </r>
    <r>
      <rPr>
        <sz val="8"/>
        <color rgb="FF333333"/>
        <rFont val="Calibri"/>
        <family val="2"/>
        <scheme val="minor"/>
      </rPr>
      <t>2</t>
    </r>
    <r>
      <rPr>
        <sz val="11"/>
        <color rgb="FF333333"/>
        <rFont val="Calibri"/>
        <family val="2"/>
        <scheme val="minor"/>
      </rPr>
      <t> including pads.</t>
    </r>
  </si>
  <si>
    <t>A V-Band Current-Reused LNA With a Double-Transformer-Coupling Technique</t>
  </si>
  <si>
    <t>Sunwoo Kong, Hui Dong Lee, Moon-Sik Lee, Bonghyuk Park</t>
  </si>
  <si>
    <r>
      <t>This letter presents the design of an inductorless low power differential low-noise amplifier (LNA) in 65 nm Low Power (LP) CMOS technology for multi-standard radio applications between 100MHz and 4.3 GHz. Based on the combination of common-gate (CG) and common-source (CS) with shunt feedback (SFB) topologies, the LNA utilizes a cross-coupled push-pull structure to realize g </t>
    </r>
    <r>
      <rPr>
        <sz val="8"/>
        <color rgb="FF333333"/>
        <rFont val="Calibri"/>
        <family val="2"/>
        <scheme val="minor"/>
      </rPr>
      <t>m</t>
    </r>
    <r>
      <rPr>
        <sz val="11"/>
        <color rgb="FF333333"/>
        <rFont val="Calibri"/>
        <family val="2"/>
        <scheme val="minor"/>
      </rPr>
      <t> boosting and partial noise cancelling under low power consumption. A cascode transistor is used to alleviate the Miller effect and also constructs a current steering structure to increase the bandwidth and gain. These techniques result in a good overall performance tradeoff after sizing and biasing optimization under the power constraint. A prototype has been implemented and it exhibits a voltage gain of 21.2 dB, an NF of 2.8-4 dB over the frequency range of 100 MHz to 4.3 GHz. It consumes 2 mW from 1.2 V supply and occupies an active area of 0.05 mm </t>
    </r>
    <r>
      <rPr>
        <sz val="8"/>
        <color rgb="FF333333"/>
        <rFont val="Calibri"/>
        <family val="2"/>
        <scheme val="minor"/>
      </rPr>
      <t>2</t>
    </r>
    <r>
      <rPr>
        <sz val="11"/>
        <color rgb="FF333333"/>
        <rFont val="Calibri"/>
        <family val="2"/>
        <scheme val="minor"/>
      </rPr>
      <t> .</t>
    </r>
  </si>
  <si>
    <t>A Low Power Inductorless Wideband LNA With Gm Enhancement and Noise Cancellation</t>
  </si>
  <si>
    <t>Zhijian Pan, Chuan Qin, Zuochang Ye, Yan Wang</t>
  </si>
  <si>
    <t>01/2017</t>
  </si>
  <si>
    <t>In this letter, an integrated CMOS LNA has been designed for low-rate wireless personal area network applications in 0.18 μ m technology, by employing various low-power techniques. In order to achieve ultra-low power consumption and small chip size, an inductorless LNA with triple cross-coupling technique working in the subthreshold region has been designed. These techniques provide a high gain, low noise figure (NF) and ultra-low power consumption. The trade-off of the circuit has been discussed. Measured results have been shown: an average 17 dB gain, 4.2 dB NF while dissipating only 0.2 mW (LNA core) power from 1 V DC supply voltage and occupies only 0.27 mm2 area. These are considered to be state-of-the-art for 400 MHz~1 GHz CMOS WPAN applications.</t>
  </si>
  <si>
    <t>An Ultra-Low Power CMOS LNA for WPAN Applications</t>
  </si>
  <si>
    <t>Hang-Ji Liu, Zhao-Feng Zhang</t>
  </si>
  <si>
    <t>02/2017</t>
  </si>
  <si>
    <t>A wideband LNA with a frequency range of 0.3-15 GHz is introduced for space-based applications. The LNA achieves less than 2.2 dB noise figure (NF) at room temperature, with minimum measured NF of 1.8 dB and peak gain of 37.3 dB. To the authors' best knowledge, this is the lowest NF at this bandwidth, with the highest gain-bandwidth product (1.1 THz) reported to date. Moreover, the performance of the LNA was studied across temperature, down to 78 K. The NF improves considerably and achieves a record average value of 1 dB over the whole bandwidth at 78 K, with a minimum NF of 0.74 dB at 1 GHz. Additionally, the bandwidth and gain were enhanced at 78 K without degrading input or output matching. To compensate for small gain variations across temperature, a gain control technique is proposed, which yields more than 15 dB of gain control without breaking the feedback loop and without sacrificing power matching.</t>
  </si>
  <si>
    <t>A 0.3–15 GHz SiGe LNA With &gt;1 THz Gain-Bandwidth Product</t>
  </si>
  <si>
    <t>Saeed Zeinolabedinzadeh, A. Çagri Ulusoy, Michael A. Oakley, et.al</t>
  </si>
  <si>
    <t>04/2017</t>
  </si>
  <si>
    <r>
      <t>A low-power and high power-gain (S </t>
    </r>
    <r>
      <rPr>
        <sz val="8"/>
        <color rgb="FF333333"/>
        <rFont val="Calibri"/>
        <family val="2"/>
        <scheme val="minor"/>
      </rPr>
      <t>21</t>
    </r>
    <r>
      <rPr>
        <sz val="11"/>
        <color rgb="FF333333"/>
        <rFont val="Calibri"/>
        <family val="2"/>
        <scheme val="minor"/>
      </rPr>
      <t> ) ultrawideband low noise amplifier (UWB LNA) with flat noise figure (NF) based on Global Foundies 0.13-μm CMOS technology is reported. The load effect of common-gate (CG) topology is applied with dual-resonance load network for both wideband input matching and NF flatness. Combined with inductive-series peaking technique, the frequency response of CG-common-source cascade topology is further extended. The LNA circuit achieves the high and flat power gain of 13.5±1.5 dB with input return loss better than 13 dB and a flat NF of 4.3 dB ±0.4 dB for frequencies 3-12 GHz. The fabricated LNA occupies a die area of 1.09 0.8 mm2 including pads and draw 8.5 mW from 1.2-V dc supply.</t>
    </r>
  </si>
  <si>
    <t>A CMOS 3–12-GHz Ultrawideband Low Noise Amplifier by Dual-Resonance Network</t>
  </si>
  <si>
    <t>Nan Li, Weiwei Feng, Xiuping Li</t>
  </si>
  <si>
    <r>
      <t>A wideband low noise amplifier (LNA) is presented, which composes of cascaded complimentary common gate (CCG) stage and common source (CS) stages. Based on the current reusing technique, the CCG stage saves dc power and reduces chip area by replacing two inductors with one transformer. The source-degenerated CS stage helps form a frequency-dependent load for the CCG stage. With a load reusing technique, this load can be transformed to the input and helps achieve simultaneous wideband gain, wideband input matching, and flat noise figure (NF) over the desired band. The proposed LNA shows the measured 3-dB bandwidth from 7.6 to 29 GHz, the maximum power gain of 10.7 dB, and the NF from 4.5 to 5.6 dB. The power consumption is 12.1 mW with 1-V supply voltage and the chip occupies an area of 0.3 mm</t>
    </r>
    <r>
      <rPr>
        <sz val="8"/>
        <color rgb="FF333333"/>
        <rFont val="Calibri"/>
        <family val="2"/>
        <scheme val="minor"/>
      </rPr>
      <t>2</t>
    </r>
    <r>
      <rPr>
        <sz val="11"/>
        <color rgb="FF333333"/>
        <rFont val="Calibri"/>
        <family val="2"/>
        <scheme val="minor"/>
      </rPr>
      <t> in Taiwan Semiconductor Manufacturing Company (TSMC) 65-nm CMOS process.</t>
    </r>
  </si>
  <si>
    <t>Design of Wideband LNA Employing Cascaded Complimentary Common Gate and Common Source Stages</t>
  </si>
  <si>
    <t>Pei Qin, Quan Xue</t>
  </si>
  <si>
    <t>06/2017</t>
  </si>
  <si>
    <r>
      <t>This letter presents a compact wideband low-noise amplifier (LNA) with utilizing the transformers for gain and input matching bandwidth extensions based on the source degeneration topology. The wideband gain response is achieved by using a transformer gate-drain feedback technique to peak the gain at high frequency while the wideband input matching is obtained by employing a new transformer-based input matching network to produce two resonant points separately located at low and high frequencies within the operating band. Implemented in 65-nm CMOS process, the proposed LNA shows a measured peak gain of 10.2 dB with its 3-dB bandwidth ranging from 15.8 to 30.3 GHz and minimum noise figure of 3.3 dB. Taking advantage of the superior compactness from the transformer-based techniques, the LNA occupies very compact chip area of only 0.18 mm</t>
    </r>
    <r>
      <rPr>
        <sz val="8"/>
        <color rgb="FF333333"/>
        <rFont val="Calibri"/>
        <family val="2"/>
        <scheme val="minor"/>
      </rPr>
      <t>2</t>
    </r>
    <r>
      <rPr>
        <sz val="11"/>
        <color rgb="FF333333"/>
        <rFont val="Calibri"/>
        <family val="2"/>
        <scheme val="minor"/>
      </rPr>
      <t>, exhibiting as one of the most compact wideband LNAs.</t>
    </r>
  </si>
  <si>
    <t>Compact Wideband LNA With Gain and Input Matching Bandwidth Extensions by Transformer</t>
  </si>
  <si>
    <t>07/2017</t>
  </si>
  <si>
    <t>We report a heterogeneously integrated W-band downconverter, consisting of a low noise amplifier (LNA) and a star mixer. An LNA is realized in a 0.1-μm InP highelectron-mobility transistor (HEMT) technology and features the noise figure of ~2.5 dB and gain ≥25 dB at W-band. Star mixer is realized in four-layer interconnect InP heterojunction bipolar transistor (HBT) and diode process. A novel design eliminates electrically large diode ring by utilizing a multimetal configuration. Mixer chiplet is integrated into the LNA carrier wafer using heterogeneous integration, which offers electrically short connection between two technologies. Heterogeneously integrated interconnect or transition has measured a loss of ~0.8 dB up to 96 GHz. Integrated W-band downconverter has measured the conversion gain ≥0 dB from 87 to 100 GHz. This is a first reported integration of InP HBT chiplets into the InP HEMT wafer using heterogeneous integration, as well as first reported a W-band heterogeneously integrated downconverter.</t>
  </si>
  <si>
    <t>Heterogeneously Integrated W-Band Downconverter</t>
  </si>
  <si>
    <t>Vesna Radisic, Dennis W. Scott, K. K. Loi, et.al</t>
  </si>
  <si>
    <t>08/2017</t>
  </si>
  <si>
    <r>
      <t>A bidirectional low-noise amplifier (LNA) is presented in this letter. By using transistor bias control and low-loss coplanar waveguide structures with defected ground shield as both interconnect traces and distributed passives, the proposed two-port bidirectional amplifier achieves a measured performance close to the stand-alone LNA from 54 to 65 GHz. The design is fabricated in a 0.18-μm SiGe BiCMOS process consuming a maximum 10.6-mA current from a 1.8-V supply voltage and occupies a 0.85-mm </t>
    </r>
    <r>
      <rPr>
        <sz val="8"/>
        <color rgb="FF333333"/>
        <rFont val="Calibri"/>
        <family val="2"/>
        <scheme val="minor"/>
      </rPr>
      <t>2</t>
    </r>
    <r>
      <rPr>
        <sz val="11"/>
        <color rgb="FF333333"/>
        <rFont val="Calibri"/>
        <family val="2"/>
        <scheme val="minor"/>
      </rPr>
      <t> core die area.</t>
    </r>
  </si>
  <si>
    <t>A 60-GHz Coplanar Waveguide-Based Bidirectional LNA in SiGe BiCMOS</t>
  </si>
  <si>
    <t>Thangarasu Bharatha Kumar, Kaixue Ma, Kiat Seng Yeo</t>
  </si>
  <si>
    <t>**(This LNA has variable gain control)</t>
  </si>
  <si>
    <r>
      <t>This letter presents a wideband high-gain fourstage cascode D-band low noise amplifier (LNA) implemented in a 0.13-μm SiGe BiCMOS technology. A shunt inductor that is used at the intermediate node of the cascode topology to reduce the noise contribution of the common base transistor is analyzed and employed for the first time for the SiGe HBT technology. Furthermore, the staggered-tuning technique based on the Butterworth distribution is utilized to have a wideband flat-gain characteristic. The designed LNA has a measured 32.6-dB peak gain at 144.5 GHz with a 3-dB bandwidth of 52 GHz. The measured noise figure (NF) is lower than 6.1 dB across the whole D-band, and its minimum value is 4.8 dB. The total dc power consumption is 28 mW. To the authors' best knowledge, these results demonstrate the lowest NF performance and the widest 3-dB bandwidth among the Dband LNAs implemented in the silicon-based technologies. The effective chip area excluding the pads is 0.6 mm </t>
    </r>
    <r>
      <rPr>
        <sz val="8"/>
        <color rgb="FF333333"/>
        <rFont val="Calibri"/>
        <family val="2"/>
        <scheme val="minor"/>
      </rPr>
      <t>2</t>
    </r>
    <r>
      <rPr>
        <sz val="11"/>
        <color rgb="FF333333"/>
        <rFont val="Calibri"/>
        <family val="2"/>
        <scheme val="minor"/>
      </rPr>
      <t> , and the total IC occupies an area of 1 mm </t>
    </r>
    <r>
      <rPr>
        <sz val="8"/>
        <color rgb="FF333333"/>
        <rFont val="Calibri"/>
        <family val="2"/>
        <scheme val="minor"/>
      </rPr>
      <t>2</t>
    </r>
    <r>
      <rPr>
        <sz val="11"/>
        <color rgb="FF333333"/>
        <rFont val="Calibri"/>
        <family val="2"/>
        <scheme val="minor"/>
      </rPr>
      <t> .</t>
    </r>
  </si>
  <si>
    <t>A SiGe HBTD-Band LNA With Butterworth Response and Noise Reduction Technique</t>
  </si>
  <si>
    <t>Esref Turkmen, Abdurrahman Burak, Alper Guner, et.al</t>
  </si>
  <si>
    <t>06/2018</t>
  </si>
  <si>
    <r>
      <t>This letter presents the design of a two-stage 400-to-800-MHz GaAs pseudomorphic high-electron-mobility transistor wideband low-noise amplifier (LNA) to upgrade an aperture synthesis radio telescope. The first stage is based on an inductive-source-degenerated amplifier topology, uses a low voltage supply, and utilizes an intrinsic input-transistor gate-drain feedback to improve the LNA bandwidth and gain. The final stage, a common-source amplifier, provides 50-Ω match and increases the gain. Employing matching via intrinsic feedback and a low-voltage supply, the LNA exhibits gain (S </t>
    </r>
    <r>
      <rPr>
        <sz val="8"/>
        <color rgb="FF333333"/>
        <rFont val="Calibri"/>
        <family val="2"/>
        <scheme val="minor"/>
      </rPr>
      <t>21</t>
    </r>
    <r>
      <rPr>
        <sz val="11"/>
        <color rgb="FF333333"/>
        <rFont val="Calibri"/>
        <family val="2"/>
        <scheme val="minor"/>
      </rPr>
      <t> ) from 41.1 to 43.3 dB, a minimum input-referred 1-dB compression point of -32.8 dBm, and a noise figure from 0.26 to 0.34 dB over the 400-to-800-MHz band. A future antennaarray feed with such LNAs is expected to exhibit 18.8-26.3 K beam-referred noise temperatures. The LNA consumes 406 mW from a 1.4-V supply.</t>
    </r>
  </si>
  <si>
    <t>400-to-800-MHz GaAs pHEMT-Based Wideband LNA for Radio-Astronomy Antenna-Array Feed</t>
  </si>
  <si>
    <t>Thisara Kulatunga, Leonid Belostotski, James W. Haslett</t>
  </si>
  <si>
    <t>10/2018</t>
  </si>
  <si>
    <t>This letter reports a GaAs monolithic microwave integrated circuit (MMIC) low noise amplifier (LNA) with integrated high-power absorptive receive protection switch realized using 0.13-μm GaAs pHEMT process. On-the-chip current distributed, resonant shunt FET switch configuration is employed for higher power handling. FET stacking technique is used to reduce the effective noise figure (NF). A two-stage LNA with integrated high power switch, forming each arm in a balanced configuration is employed to realize a monolithic LNA with integrated absorptive receive protection switch. This novel MMIC provides protection up to 20-W continuous wave and 2.9-dB NF, a gain of 20 dB over 9.3-9.9 GHz.</t>
  </si>
  <si>
    <t>GaAs MMIC Low Noise Amplifier With Integrated High-Power Absorptive Receive Protection Switch</t>
  </si>
  <si>
    <t>Ch. V. N. Rao , D. K. Ghodgaonkar, Nitesh Sharma</t>
  </si>
  <si>
    <t>12/2018</t>
  </si>
  <si>
    <t>A variable-gain low-noise amplifier implemented in a 65-nm CMOS process for a beamforming front-end chip is presented, of which the phase remains constant during gain variations. The phase compensation characteristic is achieved by introducing a shunt PMOS and a parallel resistor at the differential outputs of common-gate (CG) transistors. This allows the gain to be controlled without phase variation by adjustment of the combined gate voltage of the CG transistor and the shunt PMOS at the same time. The proposed device shows a gain of 20.8 dB and a noise figure of 3.71 dB at 31 GHz. It shows a root-mean-square phase error of less than 3° over the gain control range of 10.6 dB at 30-34.5 GHz.</t>
  </si>
  <si>
    <t>A Ka-Band Phase-Compensated Variable-Gain CMOS Low-Noise Amplifier</t>
  </si>
  <si>
    <t>Seungchan Lee, Jinseok Park, Songcheol Hong</t>
  </si>
  <si>
    <t>02/2019</t>
  </si>
  <si>
    <r>
      <t>A 22-30-GHz gallium nitride (GaN) low-noise amplifier (LNA) having a noise figure (NF) of 0.4-1.1 dB is presented in this letter. This LNA is fabricated with 0.1 gatelength GaN-on-silicon high-electron mobility transistor process, which is believed to have the lowest NF among GaN LNA at this frequency range reported to date. The small-signal gain is between 19.5 and 22.5 dB across the band. The output-referred 1-dB compression point (P1dB) and output-referred third-order intercept point (OIP3) are at 20.8and 34.5-dBm level. The high robust was proven by stressing the LNA with a continuous wave input power of 30 dBm for 1 min. The three-stage LNA is 1.7 × 1.3 mm </t>
    </r>
    <r>
      <rPr>
        <sz val="8"/>
        <color rgb="FF333333"/>
        <rFont val="Calibri"/>
        <family val="2"/>
        <scheme val="minor"/>
      </rPr>
      <t>2</t>
    </r>
    <r>
      <rPr>
        <sz val="11"/>
        <color rgb="FF333333"/>
        <rFont val="Calibri"/>
        <family val="2"/>
        <scheme val="minor"/>
      </rPr>
      <t> in area and consumes 210-mW dc power. Compared with the traditional gallium arsenide and indium phosphide LNA, the GaN monolithic microwave integrated circuit LNA in this letter exhibits a competitive NF but has much higher robust and linearity.</t>
    </r>
  </si>
  <si>
    <t>A 22–30-GHz GaN Low-Noise Amplifier With 0.4–1.1-dB Noise Figure</t>
  </si>
  <si>
    <t>Xiaodong Tong , Shiyong Zhang , Penghui Zheng, et.al</t>
  </si>
  <si>
    <r>
      <t>This letter presents a low-power small-footprint low-noise amplifier (LNA) that operates over the frequency band of 55-64 GHz. Using a resistor between bulk and substrate (ground) nodes, these two nodes are isolated. This bulk isolation technique is introduced to achieve the maximum gain of the transistor at the desired frequency band. Also, a methodology is proposed to determine the optimal size of transistors to achieve the maximum possible gain. As a proof of concept, the proposed LNA is fabricated in a 65-nm bulk CMOS process, and the design features 12.8 ± 0.5 dB power gain and an average noise figure of 3.8 dB. The output 1-dB compression point of the LNA is -6 dBm. The LNA consumes 8.8 mW from a 1-V supply and excluding the pads occupies a silicon area of 0.23 mm </t>
    </r>
    <r>
      <rPr>
        <sz val="8"/>
        <color rgb="FF333333"/>
        <rFont val="Calibri"/>
        <family val="2"/>
        <scheme val="minor"/>
      </rPr>
      <t>2</t>
    </r>
    <r>
      <rPr>
        <sz val="11"/>
        <color rgb="FF333333"/>
        <rFont val="Calibri"/>
        <family val="2"/>
        <scheme val="minor"/>
      </rPr>
      <t> .</t>
    </r>
  </si>
  <si>
    <t>A 55–64-GHz Low-Power Small-Area LNA in 65-nm CMOS With 3.8-dB Average NF and ~12.8-dB Power Gain</t>
  </si>
  <si>
    <t>Majid Yaghoobi, Mohammad Yavari, Milad Haghi Kashani, et.al</t>
  </si>
  <si>
    <t>n this letter, a 125-143-GHz frequency-reconfigurable BiCMOS compact low-noise amplifier (LNA) is presented for the first time. It consists of two cascode stages and was fabricated using a 0.13-μm SiGe:C BiCMOS process, which integrates RF-MEMS switches. A systematic general design procedure to obtain a balanced gain and noise figure in both frequency states is proposed. The LNA size is minimized by using only one RF-MEMS switch to select the frequency band and a multimodal three-line microstrip structure in the input matching network. The measured gain and noise figure are 18.2/16.1 and 7/7.7 dB at 125/143 GHz. The power consumption is 36.8 mW. The measured results are in good agreement with simulations.</t>
  </si>
  <si>
    <t>A 125–143-GHz Frequency-Reconfigurable BiCMOS Compact LNA Using a Single RF-MEMS Switch</t>
  </si>
  <si>
    <t>Julio Heredia , Miquel Ribó, Lluís Pradel, et.al</t>
  </si>
  <si>
    <t>05/2019</t>
  </si>
  <si>
    <t>**(This LNA has two bands of operation)</t>
  </si>
  <si>
    <r>
      <t>A broadband low-noise amplifier (LNA) is presented in this letter. By using multiple bandwidth extension methods, including feedback, shunt, and double series peaking techniques, the proposed LNA achieves a measured average gain of 26.5 dB from 1 to 40 GHz and minimal noise figure of 2.8 dB with better than 9-dB input-output return loss. The circuit is fabricated using 0.15-μm GaAs E-mode pseudomorphic high-electron-mobility transistor (pHEMT) process with 1.06-mm </t>
    </r>
    <r>
      <rPr>
        <sz val="8"/>
        <color rgb="FF333333"/>
        <rFont val="Calibri"/>
        <family val="2"/>
        <scheme val="minor"/>
      </rPr>
      <t>2</t>
    </r>
    <r>
      <rPr>
        <sz val="11"/>
        <color rgb="FF333333"/>
        <rFont val="Calibri"/>
        <family val="2"/>
        <scheme val="minor"/>
      </rPr>
      <t> chip area. The LNA is supplied by a single dc voltage of 4.5 V. The proposed LNA achieves the bandwidth comparable to that of the distributed amplifier (DA) while obtaining higher power gain than DA fabricated using the similar process.</t>
    </r>
  </si>
  <si>
    <t>A 1–40-GHz LNA MMIC Using Multiple Bandwidth Extension Techniques</t>
  </si>
  <si>
    <t>Jianquan Hu , Kaixue Ma</t>
  </si>
  <si>
    <r>
      <t>A 24-GHz compact gain-boosting low-noise amplifier (LNA) using transformer-based noise reduction and single-ended neutralization techniques, is presented in this letter. Based on a novel feedback transformer and a phase tuning capacitor, an improved capacitive feedback neutralization technique is introduced into a single-ended common source topology, converting the unstable transistor to a reliable, practical, and gain-boosting stage. The proposed LNA achieves a 23.5-dB transducer gain and a noise figure of 3.3-dB at 24 GHz with 12-mW power consumption. For a compact design, the matching networks are realized by transformers. The active chip area is optimized to 0.096 mm </t>
    </r>
    <r>
      <rPr>
        <sz val="8"/>
        <color rgb="FF333333"/>
        <rFont val="Calibri"/>
        <family val="2"/>
        <scheme val="minor"/>
      </rPr>
      <t>2</t>
    </r>
    <r>
      <rPr>
        <sz val="11"/>
        <color rgb="FF333333"/>
        <rFont val="Calibri"/>
        <family val="2"/>
        <scheme val="minor"/>
      </rPr>
      <t> .</t>
    </r>
  </si>
  <si>
    <t>Design and Implementation of an Ultracompact LNA With 23.5-dB Gain and 3.3-dB Noise Figure</t>
  </si>
  <si>
    <t>06/2019</t>
  </si>
  <si>
    <r>
      <t>This letter presents a CMOS millimeter-wave low-noise amplifier (LNA) with flat gain and noise figure (NF) over the entire bandwidth of 60-90 GHz. The proposed double-neutralized technique in the third stage improves both maximum available gain and stability compared to the traditional neutralized common source technique. By partially distributing the center frequencies over three stages, the LNA achieves the wideband performance, with a power gain of 12.7 ± 1.5 dB over 60-90 GHz, NF of 6.3-8.4 dB for frequencies over the range of 75-90 GHz, and an input 1-dB compression point (P </t>
    </r>
    <r>
      <rPr>
        <sz val="8"/>
        <color rgb="FF333333"/>
        <rFont val="Calibri"/>
        <family val="2"/>
        <scheme val="minor"/>
      </rPr>
      <t>1 dB</t>
    </r>
    <r>
      <rPr>
        <sz val="11"/>
        <color rgb="FF333333"/>
        <rFont val="Calibri"/>
        <family val="2"/>
        <scheme val="minor"/>
      </rPr>
      <t> ) of -10 dBm at 77 GHz. Implemented in 65-nm CMOS, the LNA consumes 33.5 mW under 1.8 V with a silicon area of 0.45 mm </t>
    </r>
    <r>
      <rPr>
        <sz val="8"/>
        <color rgb="FF333333"/>
        <rFont val="Calibri"/>
        <family val="2"/>
        <scheme val="minor"/>
      </rPr>
      <t>2</t>
    </r>
    <r>
      <rPr>
        <sz val="11"/>
        <color rgb="FF333333"/>
        <rFont val="Calibri"/>
        <family val="2"/>
        <scheme val="minor"/>
      </rPr>
      <t> with pads included.</t>
    </r>
  </si>
  <si>
    <t>A 60–90-GHz CMOS Double-Neutralized LNA Technology With 6.3-dB NF and −10dBm P−1dB</t>
  </si>
  <si>
    <t>Dongfang Pan, Zongming Duan, Sudipto Chakraborty, et.al</t>
  </si>
  <si>
    <t>07/2019</t>
  </si>
  <si>
    <t>05/2004</t>
  </si>
  <si>
    <t>04/2005</t>
  </si>
  <si>
    <t>02/2006</t>
  </si>
  <si>
    <t>12/2006</t>
  </si>
  <si>
    <t>05/2008</t>
  </si>
  <si>
    <t>08/2008</t>
  </si>
  <si>
    <t>12/2008</t>
  </si>
  <si>
    <t>08/2009</t>
  </si>
  <si>
    <t>09/2009</t>
  </si>
  <si>
    <t>12/2009</t>
  </si>
  <si>
    <t>04/2010</t>
  </si>
  <si>
    <t>03/2011</t>
  </si>
  <si>
    <t>01/2011</t>
  </si>
  <si>
    <t>09/2011</t>
  </si>
  <si>
    <t>12/2012</t>
  </si>
  <si>
    <t>01/2013</t>
  </si>
  <si>
    <t>03/2013</t>
  </si>
  <si>
    <t>04/2013</t>
  </si>
  <si>
    <t>06/2013</t>
  </si>
  <si>
    <t>10/2013</t>
  </si>
  <si>
    <t>11/2014</t>
  </si>
  <si>
    <t>03/2015</t>
  </si>
  <si>
    <t>05/2016</t>
  </si>
  <si>
    <t>06/2016</t>
  </si>
  <si>
    <t>07/2016</t>
  </si>
  <si>
    <t>11/2017</t>
  </si>
  <si>
    <t>08/2001</t>
  </si>
  <si>
    <t>12/2004</t>
  </si>
  <si>
    <t>07/2005</t>
  </si>
  <si>
    <t>12/2005</t>
  </si>
  <si>
    <t>02/2007</t>
  </si>
  <si>
    <t>05/2007</t>
  </si>
  <si>
    <t>11/2007</t>
  </si>
  <si>
    <t>11/2008</t>
  </si>
  <si>
    <t>03/2010</t>
  </si>
  <si>
    <t>05/2011</t>
  </si>
  <si>
    <t>01/2012</t>
  </si>
  <si>
    <t>04/2014</t>
  </si>
  <si>
    <t>10/2014</t>
  </si>
  <si>
    <t>02/2015</t>
  </si>
  <si>
    <t>03/2016</t>
  </si>
  <si>
    <t>03/2017</t>
  </si>
  <si>
    <t>05/2017</t>
  </si>
  <si>
    <t>05/2018</t>
  </si>
  <si>
    <t>02/2003</t>
  </si>
  <si>
    <t>11/2003</t>
  </si>
  <si>
    <t>01/2004</t>
  </si>
  <si>
    <t>05/2006</t>
  </si>
  <si>
    <t>09/2007</t>
  </si>
  <si>
    <t>01/2016</t>
  </si>
  <si>
    <t>12/2016</t>
  </si>
  <si>
    <t>09/2003</t>
  </si>
  <si>
    <t>01/2005</t>
  </si>
  <si>
    <t>09/2008</t>
  </si>
  <si>
    <t>10/2008</t>
  </si>
  <si>
    <t>09/2017</t>
  </si>
  <si>
    <t>08/2013</t>
  </si>
  <si>
    <t>09/2016</t>
  </si>
  <si>
    <t>02/2018</t>
  </si>
  <si>
    <t>01/2007</t>
  </si>
  <si>
    <t>Center Freq(Ghz)</t>
  </si>
  <si>
    <r>
      <t>A passive imaging receiver operating in the W-band around 90 GHz has been realized in a digital 65-nm CMOS process. The circuit, occupying only 0.41 mm</t>
    </r>
    <r>
      <rPr>
        <sz val="8"/>
        <rFont val="Calibri"/>
        <family val="2"/>
        <scheme val="minor"/>
      </rPr>
      <t>2</t>
    </r>
    <r>
      <rPr>
        <sz val="11"/>
        <rFont val="Calibri"/>
        <family val="2"/>
        <scheme val="minor"/>
      </rPr>
      <t>, integrates an SPDT switch with 4.2 dB loss and 25 dB isolation, a five-stage telescopic cascode LNA with 27 dB gain at 90 GHz, and a W-band square-law detector, all consuming less than 33 mA from 1.2 V. A version of the receiver without the input SPDT switch has a peak responsivity of over 200 kV/W and a minimum NEP of less than 0.1 pW/ Hz. The full Dicke radiometer, which includes the input switch, achieves a responsivity of 90 kV/W and an NEP of 0.2 pW/ Hz. This work represents the first W-band passive imaging receiver to be implemented in standard CMOS with this level of integration.</t>
    </r>
  </si>
  <si>
    <r>
      <t>A 2.5GHz 32nm 0.35mm</t>
    </r>
    <r>
      <rPr>
        <vertAlign val="superscript"/>
        <sz val="11"/>
        <color rgb="FF333333"/>
        <rFont val="Calibri"/>
        <family val="2"/>
        <scheme val="minor"/>
      </rPr>
      <t xml:space="preserve">2 </t>
    </r>
    <r>
      <rPr>
        <sz val="11"/>
        <color rgb="FF333333"/>
        <rFont val="Calibri"/>
        <family val="2"/>
        <scheme val="minor"/>
      </rPr>
      <t>3.5dB NF −5dBm P1dB fully differential CMOS push-pull LNA with integrated 34dBm T/R switch and ESD protection</t>
    </r>
  </si>
  <si>
    <t>*(This is a tunable LNA)</t>
  </si>
  <si>
    <t>*(This paper presents multiple LNA's)</t>
  </si>
  <si>
    <t>*(233 and 234 are dual bands)</t>
  </si>
  <si>
    <t>A low noise amplifier is presented that uniquely achieves wide-band input matching and good low-frequency noise performance at the same time. Its topology is a hybrid of distributed amplifier and a common-source common-gate noise-canceling amplifier. The proof-of-principle prototype in 65nm CMOS operates from DC up to 9.5GHz with more than 12dB gain, achieves a minimum noise figure of 2.8dB, P1dB of -7dBm, IIP3 of +4dBm, consumes 18mW from a 1.4V power supply and occupies a total active area of 0.4mm2 .</t>
  </si>
  <si>
    <t>Center Freq[Ghz]</t>
  </si>
  <si>
    <t>Center Freq[GHz]</t>
  </si>
  <si>
    <t>02/2004</t>
  </si>
  <si>
    <t>Low-cost BiCMOS variable gain LNA at Ku-band with ultra-low power consumption</t>
  </si>
  <si>
    <t>F. Ellinger, H. Jackel</t>
  </si>
  <si>
    <t>A low-noise amplifier (LNA) at Ku band with variable gain for adaptive antenna combining is presented. The compact MMIC is optimized for low-power-consuming wireless local area network applications and is fabricated using commercial 0.25 um bipolar complementary metal–oxide semiconductor technology. At 16 GHz, a supply voltage of 1.5 V and a current consumption of only 1.5 mA, maximum gain of 14.5 dB, noise figure of 3.8 dB, and third-order intercept point at the output of 1 dBm are measured. At a supply voltage of only 1 V and a supply current of 0.9 mA, a gain of 11 dB was achieved, yielding a gain per supply power figure-of-merit of 12.2 dB/mW, which, to the knowledge of the authors, is the highest reported to date for Ku band LNAs, independent of the technology used. The characteristics of different bias methods for amplitude control of the cascode circuit are elaborately discussed. A bias-control method is proposed to significantly decrease the transmission phase variations versus gain.</t>
  </si>
  <si>
    <t>CMOS low-noise amplifier design optimization techniques</t>
  </si>
  <si>
    <t>Trung-Kien Nguyen, Chung-Hwan Kim, Gook-Ju Ihm, et.al</t>
  </si>
  <si>
    <t>This paper reviews and analyzes four reported low-noise amplifier (LNA) design techniques applied to the cascode topology based on CMOS technology: classical noise matching, simultaneous noise and input matching (SNIM), power-constrained noise optimization, and power-constrained simultaneous noise and input matching (PCSNIM) techniques. Very simple and insightful sets of noise parameter expressions are newly introduced for the SNIM and PCSNIM techniques. Based on the noise parameter equations, this paper provides clear understanding of the design principles, fundamental limitations, and advantages of the four reported LNA design techniques so that the designers can get the overall LNA design perspective. As a demonstration for the proposed design principle of the PCSNIM technique, a very low-power folded-cascode LNA is implemented based on 0.25 um CMOS technology for 900-MHz Zigbee applications. Measurement results show the noise figure of 1.35 dB, power gain of 12 dB, and input third-order intermodulation product of -4 dBm while dissipating 1.6 mA from a 1.25-V supply (0.7 mA for the input NMOS transistor only). The overall behavior of the implemented LNA shows good agreement with theoretical predictions.</t>
  </si>
  <si>
    <t>Modified derivative superposition method for linearizing FET low-noise amplifiers</t>
  </si>
  <si>
    <t>Intermodulation distortion in field-effect transistors (FETs) at RF frequencies is analyzed using the Volterra-series analysis. The degrading effect of the circuit reactances on the maximum IIP3 in the conventional derivative-superposition (DS) method is explained. The noise performance of this method is also analyzed and the effect of the subthreshold biasing of one of the FETs on the noise figure (NF) is shown. A modified DS method is proposed to increase the maximum IIP3 at RF. It was used in a 0.25 um Si CMOS low-noise amplifier (LNA) designed for cellular code-division multiple-access receivers. The LNA achieved +22-dBm IIP3 with 15.5-dB gain, 1.65-dB NF, and 9.3 mA@2.6-V power consumption</t>
  </si>
  <si>
    <t>A 2.17-dB NF 5-GHz-band monolithic CMOS LNA with 10-mW DC power consumption</t>
  </si>
  <si>
    <t>Hung-Wei Chiu, Shey-Shi Lu, Yo-Sheng Lin</t>
  </si>
  <si>
    <t>Design principles of CMOS low-noise amplifiers (LNAs) for simultaneous input impedance and noise matching by tailoring device size for Ropt = 50 are introduced. It is found that Ropt close to 50 can be obtained by using small devices (110 um) and small currents (5 mA). Based on the proposed approach, CMOS LNAs with on-chip input and output matching networks on thin ( 20 um) and normal (750 um) substrates are implemented. It is found that the noise figure (NF) (3.0 dB) of the CMOS LNA at 5.2 GHz with 10-mW power consumption on the normal (750 um) substrate can be reduced to 2.17 dB after the substrate is thinned down to 20u m. The reduction of NF is attributed to the suppression of substrate loss of the on-chip inductors. The input return loss ( S11) is smaller than -22 dB across the entire band of interest (5.15–5.35 GHz). An input 1-dB compression point ( P1 dB) of -8.3 dBm and an input third-order intercept point of 0.8 dBm were also obtained for the LNA on the thin substrate.</t>
  </si>
  <si>
    <t xml:space="preserve">    </t>
  </si>
  <si>
    <t>Micromachined CMOS LNA and VCO by CMOS-compatible ICP deep trench technology</t>
  </si>
  <si>
    <t>Tao Wang, Hsiao-Chin Chen, Hung-Wei Chiu, et.al</t>
  </si>
  <si>
    <t>Selective removal of the silicon underneath the inductors in RF integrated circuits based on inductively coupled plasma (ICP) deep trench technology is demonstrated by a complementary metal-oxide-semiconductor (CMOS) 5-GHz low-noise amplifier (LNA) and a 4-GHz voltage-controlled oscillator (VCO). Design principles of a multistandard LNA with flat and low noise figures (NFs) within a specific frequency range are also presented. A 2-dB increase in peak gain (from 21 to 23 dB) and a 0.5-dB (from 2.28 to 1.78 dB) decrease in minimum NF are achieved in the LNA while a 3-dB suppression of phase noise is obtained in the VCO after the ICP backside dry etching. These results show that the CMOS-process-compatible backside ICP etching technique is very promising for system-on-a-chip applications.</t>
  </si>
  <si>
    <t>A Highly Linear Low-Noise Amplifier</t>
  </si>
  <si>
    <t>Sivakumar Ganesan, Edgar Sanchez-Sinencio, Jose Silva-Martinez</t>
  </si>
  <si>
    <t>A low-noise amplifier (LNA) that achieves high third-order input intercept point (IIP3) at RF frequencies using a nonlinearity cancellation technique is proposed. The circuit tackles the problem of the effect of the second-order nonlinearity on IIP3 at RF frequencies. The circuit functionality is analyzed using Volterra series. The linear LNA was designed and fabricated in a TSMC 0.35-mum CMOS process. An IIP3 of +21 dBm was achieved with a gain of 11.5 dB, noise figure of 2.95 dB, and a power consumption of 9 mA at 2.5 V</t>
  </si>
  <si>
    <t>https://ieeexplore.ieee.org/stamp/stamp.jsp?tp=&amp;arnumber=4020450</t>
  </si>
  <si>
    <t>03/2018</t>
  </si>
  <si>
    <t>Design of a D-Band CMOS Amplifier Utilizing Coupled Slow-Wave Coplanar Waveguides</t>
  </si>
  <si>
    <t>Dristy Parveg, Mikko Varonen, Denizhan Karaca, et.al</t>
  </si>
  <si>
    <t>This paper validates a design and modeling methodology of coupled slow-wave waveguides (CS-CPW) by presenting a D-band CMOS low-noise amplifier (LNA) that utilizes the CS-CPW for impedance matching. The robustness and feasibility of using the CS-CPW as a matching element in wideband millimeter-wave (mm-wave) silicon circuit designs are studied. Furthermore, the key design details of a mm-wave LNA are discussed. The designed monolithic microwave integrated circuit amplifier has a gain greater than 10 dB from 135 to 170 GHz with a peak gain of 15.7 dB at 160 GHz. The amplifier has a measured noise figure of 8.5 dB from 135 to 170 GHz, and an output-referred 1-dB compression point of -16.5 dBm at 160 GHz. The total power consumption of the amplifier is 32 mW.</t>
  </si>
  <si>
    <t>https://ieeexplore.ieee.org/stamp/stamp.jsp?tp=&amp;arnumber=8207786</t>
  </si>
  <si>
    <t>04/2018</t>
  </si>
  <si>
    <t>A W-Band LNA/Phase Shifter With 5-dB NF and 24-mW Power Consumption in 32-nm CMOS SOI</t>
  </si>
  <si>
    <t>Mustafa Sayginer, Gabriel M. Rebeiz</t>
  </si>
  <si>
    <r>
      <t>This paper presents a W-band phased array receive front end in 32-nm CMOS silicon-on-insulator technology. The architecture is based on cascode low-noise amplifiers and passive switched LC 5-bit phase-shifters and with root-mean-square (rms) phase error of &lt;;3.5° at 88-93 GHz. The 4-bit equivalent (11°) rms phase error bandwidth is 88-98 GHz. An average system noise figure (NF) of 5.3 dB is obtained at 93-97 GHz with 18-dB gain and input P </t>
    </r>
    <r>
      <rPr>
        <sz val="8"/>
        <color rgb="FF333333"/>
        <rFont val="Calibri"/>
        <family val="2"/>
        <scheme val="minor"/>
      </rPr>
      <t>1dB</t>
    </r>
    <r>
      <rPr>
        <sz val="11"/>
        <color rgb="FF333333"/>
        <rFont val="Calibri"/>
        <family val="2"/>
        <scheme val="minor"/>
      </rPr>
      <t> of -25 dBm. The low-noise amplifier and phase-shifter front end consumes 24.3 mW including bias circuits. To the author's knowledge, the front-end NF and power consumption are state of the art for silicon-based phased array receivers at W-band frequencies, and compares well with indium phosphide (InP) and gallium arsenide (GaAs) pseudomorphic high electron mobility transistor front ends.</t>
    </r>
  </si>
  <si>
    <t>https://ieeexplore.ieee.org/stamp/stamp.jsp?tp=&amp;arnumber=8291837</t>
  </si>
  <si>
    <t>01/2019</t>
  </si>
  <si>
    <t>A 5G 28-GHz Common-Leg T/R Front-End in 45-nm CMOS SOI With 3.7-dB NF and −30-dBc EVM With 64-QAM/500-MBaud Modulation</t>
  </si>
  <si>
    <t>Umut Kodak  ; Gabriel M. Rebeiz</t>
  </si>
  <si>
    <t>This paper presents a 28-GHz common-leg phased-array front-end in 45-nm CMOS silicon on insulator with transmit and receive capabilities. The design alternates cascode amplifiers with passive switched-LC phase-shifter cells to result in 5-bit phase control with an rms phase and gain error &lt;;4° and &lt;;0.8 dB, respectively, at 24-30 GHz, over 32 phase states. The front-end has 2- and 3-bit variable gain amplifiers with 7.5-dB total gain control, without affecting the system noise figure (NF). Two low-loss high-linearity single-pole double-throw switches are used to switch between transmit and receive modes. In the receive (Rx) mode, the measured gain, NF, input 1-dB compression point (P1dB), and input third-order intercept point are 16 dB, 3.7 dB, -15 dBm, and -7 dBm, respectively, with 54-mW dc power consumption. In the transmit (Tx) mode, measurements show 16.5-dB gain, an output P1dB of 8 dBm, and an output IP3 of 16 dBm with 100-mW dc power consumption. The error-vector magnitude and adjacent-channel-power-ratio measurements demonstrate quadrature phase-shift keying, 16-quadrature amplitude modulation (QAM), 64-QAM, and 16-QAM orthogonal frequency-division multiplexing modulations with several symbol-rates reaching up to 8 Gb/s data-rate for both the Rx and Tx modes at 2- and 5-dB back-off. The application areas are in fifth-generation phased arrays requiring high-linearity receivers and using external front-end modules for added transmit power.</t>
  </si>
  <si>
    <t>https://ieeexplore.ieee.org/stamp/stamp.jsp?tp=&amp;arnumber=8493548</t>
  </si>
  <si>
    <t>03/2019</t>
  </si>
  <si>
    <t>Synthesis Technique for Low-Loss mm-Wave T/R Combiners for TDD Front-Ends</t>
  </si>
  <si>
    <t>Narek Rostomyan, Mustafa Özen, Peter M. Asbeck </t>
  </si>
  <si>
    <r>
      <t>A time-division duplex (TDD) transmit/receive (T/R) millimeter-wave (mm-wave) front-end comprises a power amplifier (PA), a low-noise amplifier (LNA), an antenna switch, and appropriate passive matching and combining networks. In this paper, a synthesis methodology is proposed that minimizes the overall losses by combining the PA output and the LNA input matching networks together with the T/R switch into one network. The technique improves mm-wave transceiver performance in terms of PA efficiency and LNA noise figure. The proposed T/R combiner can achieve high linearity and can handle large PA output voltage swings. The architecture can be implemented in any process which provides high integration capability. A Ka-band implementation is demonstrated using 45 nm CMOS silicon-on-insulator that includes a high power, four-stack-based PA and an inductively source-degenerated cascode-based LNA. Within the front-end, the PA achieves saturated output power of 23.6 dBm with peak power added efficiency of 28%, while the LNA achieves NF of 3.2 dB. The overall chip area is 0.54 mm </t>
    </r>
    <r>
      <rPr>
        <sz val="8"/>
        <color rgb="FF333333"/>
        <rFont val="Calibri"/>
        <family val="2"/>
        <scheme val="minor"/>
      </rPr>
      <t>2</t>
    </r>
    <r>
      <rPr>
        <sz val="11"/>
        <color rgb="FF333333"/>
        <rFont val="Calibri"/>
        <family val="2"/>
        <scheme val="minor"/>
      </rPr>
      <t> , including pads.</t>
    </r>
  </si>
  <si>
    <t>https://ieeexplore.ieee.org/stamp/stamp.jsp?tp=&amp;arnumber=8579115</t>
  </si>
  <si>
    <t>60-GHz Low-Noise VGA and Interpolation-Based Gain Cell in a 40-nm CMOS Technology</t>
  </si>
  <si>
    <t>Bindi Wang, Hao Gao, A. Rainier van Dommele, et.al</t>
  </si>
  <si>
    <r>
      <t>This paper presents the design and measurement of an interpolation-based low noise and variable gain cell (IBA-cell) in the 60-GHz band, using a 40-nm CMOS technology. The interpolation-based gain cell is designed for an innovative analog beamforming front end, where the array pattern is not only controlled in the phase domain, but also wins the flexibility in the magnitude domain. The circuit specifications are first derived for the application at 60 GHz. Techniques to combine low noise figure (NF) with variable gain tuning are presented focusing on the NF and linearity (IIP </t>
    </r>
    <r>
      <rPr>
        <sz val="8"/>
        <color rgb="FF333333"/>
        <rFont val="Calibri"/>
        <family val="2"/>
        <scheme val="minor"/>
      </rPr>
      <t>3</t>
    </r>
    <r>
      <rPr>
        <sz val="11"/>
        <color rgb="FF333333"/>
        <rFont val="Calibri"/>
        <family val="2"/>
        <scheme val="minor"/>
      </rPr>
      <t> ) on the example of a 60-GHz low noise amplifier and variable gain amplifier. Subsequently, the design and measurement of the whole gain cell (IBA-cell) integrated into a single chip are reported with the technique of a cross-coupled feedback loop to reduce the phase variations over the gain tuning states and enhance the variations of IIP </t>
    </r>
    <r>
      <rPr>
        <sz val="8"/>
        <color rgb="FF333333"/>
        <rFont val="Calibri"/>
        <family val="2"/>
        <scheme val="minor"/>
      </rPr>
      <t>3</t>
    </r>
    <r>
      <rPr>
        <sz val="11"/>
        <color rgb="FF333333"/>
        <rFont val="Calibri"/>
        <family val="2"/>
        <scheme val="minor"/>
      </rPr>
      <t> . The IBA-cell achieves 15.8-dB maximum gain and 6.5-dB NF at 57 GHz with the gain tuning range from -2 to 15.8 dB and IIP </t>
    </r>
    <r>
      <rPr>
        <sz val="8"/>
        <color rgb="FF333333"/>
        <rFont val="Calibri"/>
        <family val="2"/>
        <scheme val="minor"/>
      </rPr>
      <t>3</t>
    </r>
    <r>
      <rPr>
        <sz val="11"/>
        <color rgb="FF333333"/>
        <rFont val="Calibri"/>
        <family val="2"/>
        <scheme val="minor"/>
      </rPr>
      <t> varying from -11.3 to -16 dBm over the gain control range. The IBA-cell consumes a dc power of maximum 54 mA from 1.1 V.</t>
    </r>
  </si>
  <si>
    <t>https://ieeexplore.ieee.org/stamp/stamp.jsp?tp=&amp;arnumber=8605520</t>
  </si>
  <si>
    <t>12/2000</t>
  </si>
  <si>
    <t>2-GHz RF Front-End Circuits in CMOS/SIMOX Operating at an Extremely Low Voltage of 0.5 V</t>
  </si>
  <si>
    <t>2-GHz RF front-end circuits [low noise amplifier (LNA), mixer, and voltage-controlled oscillator (VCO)] enabling 0.5-V operation are presented. The circuits were fabricated by 0.2-/spl mu/m fully depleted CMOS/SIMOX technology. The mixer has an LC-tuned folded structure to avoid stacking transistors. Undoped-channel MOSFETs are used in the VCO core and in a complementary source follower as output buffers for the mixer and the VCO. The noise figures of 3.5 dB (LNA) and 16.1 dB (mixer), IIP3 of -6-dBm (mixer), and phase noise of -110 dBc/Hz at 1-MHz offset (VCO) are achieved at a supply voltage of 1 V. They dissipate 2 mW (LNA), 4 mW (mixer), and 3 mW (VCO) at 0.5.</t>
  </si>
  <si>
    <t>https://ieeexplore.ieee.org/stamp/stamp.jsp?tp=&amp;arnumber=890316</t>
  </si>
  <si>
    <t>07/2000</t>
  </si>
  <si>
    <t>A 200-MHz Sub-mA RF Front End for Wireless Hearing Aid Applications</t>
  </si>
  <si>
    <t>Armin Deiss, Dirk Pfaff, Qiuting Huang</t>
  </si>
  <si>
    <t>A hearing-aid system with RF connection between both ear-pieces is described and its transceiver is introduced. A suitable 200-MHz RF front end has been implemented in a 0.8-/spl mu/m BiCMOS technology. Low power consumption and area constraint were key requirements. The chip comprises a low noise amplifier (LNA), a single balanced mixer, a varactor tuned LC local oscillator with buffer and a 16/17 dual-modulus prescaler. The LNA has a measured gain of 17.5 dB at 200 MHz. The conversion g/sub m/ of the mixer is 1.88 mS. The overall voltage gain and noise figure are 26 dB and 5.2 dB, respectively. The voltage-controlled oscillator's (VCO's) phase noise is -104.7 dBc/Hz at an offset of 24 kHz.</t>
  </si>
  <si>
    <t>https://ieeexplore.ieee.org/stamp/stamp.jsp?tp=&amp;arnumber=848206</t>
  </si>
  <si>
    <t>10/2001</t>
  </si>
  <si>
    <t>A 2-dB Noise Figure 900-MHz Differential CMOS LNA</t>
  </si>
  <si>
    <t>Francesco Gatta, Enrico Sacchi, Francesco Svelto, et.al</t>
  </si>
  <si>
    <t>This paper proposes a new circuit topology for RF CMOS low noise amplifier (LNA). Since pMOS devices are approaching the performances of nMOS devices in scaled technologies, the idea is to realize the input stage shunting an inductively degenerated nMOS stage with a pMOS one. In this way, due to the inherent current reuse, the performances can be improved using the same power consumption. Since the devices of an inductively degenerated input stage are working in moderate inversion (at least at moderate power dissipation), prior to the stage optimization an appropriate moderate inversion model is introduced. A fully differential 900-MHz 0.35-/spl mu/m CMOS LNA (plus output buffer) prototype achieves the following performances: 2-dB noise figure (NF), 17.5-dB power gain, -6-dBm IIP3 with 8-mA current consumption from a 2.7-V voltage supply. To the author's knowledge, this is the lowest reported NF for a fully differential CMOS LNA operating at this power consumption level. As an additional feature, this LNA has a programmable gain.</t>
  </si>
  <si>
    <t>https://ieeexplore.ieee.org/stamp/stamp.jsp?tp=&amp;arnumber=953472</t>
  </si>
  <si>
    <t>Low-Voltage 1.9-GHz Front-End Receiver in 0.5-_x0016_m CMOS Technology</t>
  </si>
  <si>
    <t>Eyad Abou-Allam, John J. Nisbet, Michael C. Maliepaard</t>
  </si>
  <si>
    <t>This paper describes the design of a 1.9-GHz front-end receiver. The target application of the receiver is the personal communications standard PCS1900. Powered by a 1-V supply, the receiver consists of a low noise amplifier (LNA) and a downconversion mixer. The receiver was fabricated within a 0.5-/spl mu/m CMOS technology. The LNA features 15 dB of gain and a 1.8-dB noise figure. The mixer exhibits 1.5-dB conversion loss, 12-dB noise figure, and 0 dBm 1 dB-compression point.</t>
  </si>
  <si>
    <t>https://ieeexplore.ieee.org/stamp/stamp.jsp?tp=&amp;arnumber=953471</t>
  </si>
  <si>
    <t>07/2001</t>
  </si>
  <si>
    <t>Generating all two-MOS-transistor amplifiers leads to new wide-band LNAs</t>
  </si>
  <si>
    <t>Federico Bruccoleri, Erik A. M. Klumperink, Bram Nauta</t>
  </si>
  <si>
    <t>This paper presents a methodology that systematically generates all 2-MOS-transistor wide-band amplifiers, assuming that MOSFET is exploited as a voltage-controlled current source. This leads to new circuits. Their gain and noise factor have been compared to well-known wide-band amplifiers. One of the new circuits appears to have a relatively low noise factor, which is also gain independent. Based on this new circuit, a 50-900 MHz variable-gain wide-band LNA has been designed in 0.35-/spl mu/m CMOS. Measurements show a noise figure between 4.3 and 4.9 dB for gains from 6 to 11 dB. These values are more than 2 dB lower than the noise figure of the wide-band common-gate LNA for the same input matching, power consumption, and voltage gain. IIP2 and IIP3 are better than 23.5 and 14.5 dBm, respectively, while the LNA drains only 1.5 mA at 3.3 V.</t>
  </si>
  <si>
    <t>https://ieeexplore.ieee.org/stamp/stamp.jsp?tp=&amp;arnumber=933458</t>
  </si>
  <si>
    <t>A sub-1-dB NF/spl plusmn/2.3-kV ESD-protected 900-MHz CMOS LNA</t>
  </si>
  <si>
    <t>Giuseppe Gramegna, Mario Paparo, Pietro G. Erratico, Placido De Vita</t>
  </si>
  <si>
    <t>A sub-1-dB noise figure HBM ESD-protected [-3 kV, 2.3 kV] low noise amplifier (LNA) has been integrated in a 0.35-/spl mu/m RF CMOS process with on-chip inductors. The sensitivity of the LNA performances to the spread of parasitics associated with package and bondwire has been attenuated by using an inductive on-chip source degeneration. At 920 MHz and P/sub dc/=8.6 mW, the LNA features: noise figure NF=1 dB, input return loss=-8.5 dB, output return loss=-27 dB, power gain G/sub p/=13 dB, input IIP3=-1.5 dBm. At a power dissipation of 5 mW and 17.6 mW, a NF respectively equal to 1.2 dB and 0.85 dB is measured. The CMOS LNA takes 12 pins of a TQFP48 package, an area of 1.0/spl times/0.66 mm/sup 2/ (bondwire pads excluded) and it is the first HBM ESD-protected [-3 kV, 2.3 kV] CMOS LNA to break the 1-dB NF barrier.</t>
  </si>
  <si>
    <t>https://ieeexplore.ieee.org/stamp/stamp.jsp?tp=&amp;arnumber=933455</t>
  </si>
  <si>
    <t>06/2002</t>
  </si>
  <si>
    <t>A 0.8-dB NF ESD-Protected 9-mW CMOS LNA Operating at 1.23 GHz</t>
  </si>
  <si>
    <t>Paul Leroux, Johan Janssens, Michiel Steyaert</t>
  </si>
  <si>
    <t>In recent years, much research has been carried out on the possibility of using pure CMOS, rather than bipolar or BiCMOS technologies, for radio-frequency (RF) applications. An example of such an application is the Global Positioning System (GPS). One of the important bottlenecks to make the transition to pure CMOS is the immunity of the circuits against electrostatic discharge (ESD). This paper shows that it is possible to design a low-noise amplifier (LNA) with very good RF performance and sufficient ESD immunity by carefully co-designing both the LNA and ESD protection. This is demonstrated with a 0.8-dB noise figure LNA with an ESD protection of -1.4-0.6 kV human body model (HBM) with a power consumption of 9 mW. The circuit was designed as a standalone LNA for a 1.2276-GHz GPS receiver. It is implemented in a standard 0.25-/spl mu/m 4M1P CMOS process.</t>
  </si>
  <si>
    <t>https://ieeexplore.ieee.org/stamp/stamp.jsp?tp=&amp;arnumber=1004580</t>
  </si>
  <si>
    <t>04/2002</t>
  </si>
  <si>
    <t>Miniature 3-D Inductors in Standard CMOS Process</t>
  </si>
  <si>
    <t>Chih-Chun Tang, Chia-Hsin Wu, Shen-Iuan Liu</t>
  </si>
  <si>
    <t>The structure of a miniature three-dimensional (3-D) inductor is presented in this paper. The proposed miniature 3-D inductors have been fabricated in a standard digital 0.35-/spl mu/m one-poly-four-metal (1P4M) CMOS process. According to the measurement results, the self-resonance frequency f/sub SR/ of the proposed miniature 3-D inductor is 34% higher than the conventional stacked inductor. Moreover, the inductor occupies only 16% of the area of the conventional planar spiral inductor with the same inductance and maximum quality factor Q/sub max/. A 2.4-GHz CMOS low-noise amplifier (LNA), which utilized the proposed miniature 3-D inductors, has also been fabricated. By virtue of the small area of the inductor, the size and cost of the radio frequency (RF) chip can be significantly reduced.</t>
  </si>
  <si>
    <t>https://ieeexplore.ieee.org/stamp/stamp.jsp?tp=&amp;arnumber=991385</t>
  </si>
  <si>
    <t>07/2002</t>
  </si>
  <si>
    <t>A 7-GHz 1.8-dB NF CMOS low-noise amplifier</t>
  </si>
  <si>
    <t>Ryuichi Fujimoto, Kenji Kojima, Shoji Otaka</t>
  </si>
  <si>
    <t>A 7-GHz low-noise amplifier (LNA) was designed and fabricated using 0.25-/spl mu/m CMOS technology. A cascode configuration with a dual-gate MOSFET and shielded pads were adopted to improve the gain and the noise performance. The effects of the dual-gate MOSFET and the shielded pads are discussed quantitatively. An associated gain of 8.9 dB, a minimum noise figure of 1.8 dB, and an input-referred third-order intercept point of +8.4 dBm were obtained at 7 GHz. The LNA consumes 6.9 mA from a 2.0-V supply voltage. These measured results indicate the feasibility of a CMOS LNA employing these techniques for low-noise and high-linearity applications at over 5 GHz.</t>
  </si>
  <si>
    <t>https://ieeexplore.ieee.org/stamp/stamp.jsp?tp=&amp;arnumber=1015682</t>
  </si>
  <si>
    <t>08/2002</t>
  </si>
  <si>
    <t>A Noise Optimization Technique for Integrated Low-Noise Amplifiers</t>
  </si>
  <si>
    <t>Jung-Suk Goo, Hee-Tae Ahn, Donald J. Ladwig, et.al</t>
  </si>
  <si>
    <t>Based on measured four-noise parameters and two-port noise theory, considerations for noise optimization of integrated low-noise amplifier (LNA) designs are presented. If arbitrary values of source impedance are allowed, optimal noise performance of the LNA is obtained by adjusting the source degeneration inductance. Even for a fixed source impedance, the integrated LNA can achieve near NF/sub min/ by choosing an appropriate device geometry along with an optimal bias condition. An 800 MHz LNA has been implemented in a standard 0.24 /spl mu/m CMOS technology. The amplifier possesses a 0.9 dB noise figure with a 7.1 dBm third-order input intercept point, while drawing 7.5 mW from a 2.0 V power supply, demonstrating that the proposed methodology can accurately predict noise performance of integrated LNA designs.</t>
  </si>
  <si>
    <t>https://ieeexplore.ieee.org/stamp/stamp.jsp?tp=&amp;arnumber=1020238</t>
  </si>
  <si>
    <t>04/2003</t>
  </si>
  <si>
    <t>A 5.2-GHz LNA in 0.35-μm CMOS utilizing inter-stage series resonance and optimizing the substrate resistance</t>
  </si>
  <si>
    <t>Choong-Yul Cha, Sang-Gug Lee</t>
  </si>
  <si>
    <t>A current-reused two-stage low-noise amplifier (LNA) topology is proposed, which adopts a series inter-stage resonance and optimized substrate resistance of individual transistors. The characteristics of the series inter-stage resonance in gain enhancement are analyzed and compared with other alternatives. The contradicting effects of substrate resistance on common-source and common-gate amplifiers are analyzed and proposed guidelines for high-gain operation. The LNA is implemented based on a 0.35-μm CMOS technology for 5.2-GHz wireless LAN applications. Measurements show 19.3dB of power gain, 2.45 dB of noise figure, and 13.2 dBm of output IP3, respectively, for the dc power supply of 8 mA and 3.3 V.</t>
  </si>
  <si>
    <t>https://ieeexplore.ieee.org/stamp/stamp.jsp?tp=&amp;arnumber=1190604</t>
  </si>
  <si>
    <t>Wide-band CMOS low-noise amplifier exploiting thermal noise canceling</t>
  </si>
  <si>
    <t>Federico Bruccoleri, Eric A. M. Klumperink, Bram Nauta</t>
  </si>
  <si>
    <t>Known elementary wide-band amplifiers suffer from a fundamental tradeoff between noise figure (NF) and source impedance matching, which limits the NF to values typically above 3 dB. Global negative feedback can be used to break this tradeoff, however, at the price of potential instability. In contrast, this paper presents a feedforward noise-canceling technique, which allows for simultaneous noise and impedance matching, while canceling the noise and distortion contributions of the matching device. This allows for designing wide-band impedance-matching amplifiers with NF well below 3 dB, without suffering from instability issues. An amplifier realized in 0.25-/spl mu/m standard CMOS shows NF values below 2.4 dB over more than one decade of bandwidth (i.e., 150-2000 MHz) and below 2 dB over more than two octaves (i.e., 250-1100 MHz). Furthermore, the total voltage gain is 13.7 dB, the -3-dB bandwidth is from 2 MHz to 1.6 GHz, the IIP2 is +12 dBm, and the IIP3 is 0 dBm. The LNA drains 14 mA from a 2.5-V supply and the die area is 0.3/spl times/0.25 mm/sup 2/.</t>
  </si>
  <si>
    <t>https://ieeexplore.ieee.org/stamp/stamp.jsp?tp=&amp;arnumber=1263653</t>
  </si>
  <si>
    <t>07/2006</t>
  </si>
  <si>
    <t>A cellular-band CDMA 0.25-/spl mu/m CMOS LNA linearized using active post-distortion</t>
  </si>
  <si>
    <t>Namsoo Kim, Vladimir Aparin, Kenneth Barnett, Charles Persico</t>
  </si>
  <si>
    <t>The theory of a linearization method using active post-distortion (APD) is explained for low-frequency and high-frequency applications. The low-frequency cancellation is explained in power series format and the high-frequency cancellation is explained in Volterra series format. The method is utilized for a cellular band (869-894 MHz) CDMA low-noise amplifier (LNA), which is implemented in 0.25-mum CMOS process. The LNA achieves 1.2 dB NF, 16.2 dB power gain, and +8 dBm IIP3 while consuming 12 mA current from 2.6 V supply voltage. It shows 13.5 dB of IM3 product reduction with 0.15 dB NF penalty in comparison with an LNA which does not use the APD method</t>
  </si>
  <si>
    <t>https://ieeexplore.ieee.org/stamp/stamp.jsp?tp=&amp;arnumber=1644862</t>
  </si>
  <si>
    <t>A Noise Reduction and Linearity Improvement Technique for a Differential Cascode LNA</t>
  </si>
  <si>
    <t>Xiaohua Fan, Heng Zhang, Edgar Sánchez-Sinencio</t>
  </si>
  <si>
    <t>A typical common source cascode low-noise amplifier (CS-LNA) can be treated as a CS-CG two stage amplifier. In the published literature, an inductor is added at the drain of the main transistor to reduce the noise contribution of the cascode transistors. In this work, an inductor connected at the gate of the cascode transistor and capacitive cross-coupling are strategically combined to reduce the noise and the nonlinearity influences of the cascode transistors in a differential cascode CS-LNA. It uses a smaller noise reduction inductor compared with the conventional inductor based technique. It can reduce the noise, improve the linearity and also increase the voltage gain of the LNA. The proposed technique is theoretically formulated. Furthermore, as a proof of concept, a 2.2 GHz inductively degenerated CS-LNA was fabricated using TSMC 0.35 mum CMOS technology. The resulting LNA achieves 1.92 dB noise figure, 8.4 dB power gain, better than 13 dB S11, more than 30 dB isolation (S12), and -2.55 dBm IIP3, with the core fully differential LNA consuming 9 mA from a 1.8 V power supply.</t>
  </si>
  <si>
    <t>https://ieeexplore.ieee.org/stamp/stamp.jsp?tp=&amp;arnumber=4456776</t>
  </si>
  <si>
    <t>A CMOS 210-GHz Fundamental Transceiver With OOK Modulation</t>
  </si>
  <si>
    <r>
      <t>This paper presents a 210-GHz transceiver with OOK modulation in a 32-nm SOI CMOS process (f </t>
    </r>
    <r>
      <rPr>
        <sz val="8"/>
        <color rgb="FF333333"/>
        <rFont val="Calibri"/>
        <family val="2"/>
        <scheme val="minor"/>
      </rPr>
      <t>T</t>
    </r>
    <r>
      <rPr>
        <sz val="11"/>
        <color rgb="FF333333"/>
        <rFont val="Calibri"/>
        <family val="2"/>
        <scheme val="minor"/>
      </rPr>
      <t> /f </t>
    </r>
    <r>
      <rPr>
        <sz val="8"/>
        <color rgb="FF333333"/>
        <rFont val="Calibri"/>
        <family val="2"/>
        <scheme val="minor"/>
      </rPr>
      <t>max</t>
    </r>
    <r>
      <rPr>
        <sz val="11"/>
        <color rgb="FF333333"/>
        <rFont val="Calibri"/>
        <family val="2"/>
        <scheme val="minor"/>
      </rPr>
      <t>= 250/320 GHz). The transmitter (TX) employs a 2 × 2 spatial combining array consisting of a double-stacked cross-coupled voltage controlled oscillator (VCO) at 210 GHz with an on-off-keying (OOK) modulator, a power amplifier (PA) driver, a novel balun-based differential power distribution network, four PAs, and an on-chip 2 × 2 dipole antenna array. The noncoherent receiver (RX) utilizes a direct detection architecture consisting of an on-chip antenna, a low-noise amplifier (LNA), and a power detector. The VCO generates measured -13.5-dBm output power, and the PA shows a measured 15-dB gain and 4.6-dBm P</t>
    </r>
    <r>
      <rPr>
        <sz val="8"/>
        <color rgb="FF333333"/>
        <rFont val="Calibri"/>
        <family val="2"/>
        <scheme val="minor"/>
      </rPr>
      <t>sat</t>
    </r>
    <r>
      <rPr>
        <sz val="11"/>
        <color rgb="FF333333"/>
        <rFont val="Calibri"/>
        <family val="2"/>
        <scheme val="minor"/>
      </rPr>
      <t> . The LNA exhibits a measured in-band gain of 18 dB and minimum in-band noise figure (NF) of 11 dB. The TX achieves an EIRP of 5.13 dBm at 10 dB back-off from saturated power. It achieves an estimated EIRP of 15.2 dBm when the PAs are fully driven. This is the first demonstration of a fundamental frequency CMOS transceiver at the 200-GHz frequency range.</t>
    </r>
  </si>
  <si>
    <t>https://ieeexplore.ieee.org/stamp/stamp.jsp?tp=&amp;arnumber=6718086</t>
  </si>
  <si>
    <t>A Frequency-Agile RF Frontend Architecture for Multi-Band TDD Applications</t>
  </si>
  <si>
    <t>Sushmit Goswami, Helen Kim, Joel L. Dawson</t>
  </si>
  <si>
    <t>Emerging wireless standards specify dozens of bands spanning several octaves, which need to be supported in form-factor and energy constrained mobile devices targeting ubiquitous connectivity. However, in current multi-band radio implementations, significant redundancy is still the norm in the RF frontend. This work introduces an improved architecture for multi-band, time-division duplexed (TDD) radios, which replaces multiple narrowband frontend components with a frequency-agile solution, tunable over a wide frequency range. A highly digital architecture is adopted, leading to a fully integrated solution wherein both efficiency and achievable frequency range benefit from CMOS scaling. A prototype is integrated in 45 nm SOI CMOS. Peak PA output power is 27.7 ±0.5 dBm from 1.3 to 3.3 GHz, with up to 30% total efficiency at 2 V. For TDD LTE applications, better than -30 dBc ACLR and -30 dB EVM is measured with 64 QAM, 20 MHz signals from 1.44 to 3.41 GHz, with up to 17.2% average efficiency and 23.4 dBm average power. The LNA achieves AV ≥ 14 dB, NF = 4.4 ±1.6 dB and IIP 3 ≥ -7 dBm from 1.3 to 3.3 GHz while drawing just 6 mA from 1 V. The demonstrated frequency range covers a total of 11 TDD bands .</t>
  </si>
  <si>
    <t>https://ieeexplore.ieee.org/stamp/stamp.jsp?tp=&amp;arnumber=6871369</t>
  </si>
  <si>
    <t>An 80 GHz Low-Noise Amplifier Resilient to the TX Spillover in Phase-Modulated Continuous-Wave Radars</t>
  </si>
  <si>
    <t>Alaa Medra, Davide Guermandi, Kristof Vaesen, et.al</t>
  </si>
  <si>
    <r>
      <t>An 80 GHz transmitter leakage cancellation circuit is implemented and integrated together with a low-noise amplifier (LNA) as part of a receiver front-end for a phase-modulated continuous-wave radar. The cancellation is achieved by subtracting a copy of the leakage signal from the received one at the output of the LNA. The system incorporates an analog feedback loop to adjust the amplitude of the leakage copy, as well as a vector modulator to adjust its phase. The proposed 80 GHz LNA with transmitter leakage cancellation is implemented in 28 nm CMOS technology and achieves a gain of 15.2 dB, NF of 5.5 dB, and IP </t>
    </r>
    <r>
      <rPr>
        <sz val="8"/>
        <color rgb="FF333333"/>
        <rFont val="Calibri"/>
        <family val="2"/>
        <scheme val="minor"/>
      </rPr>
      <t>1dB</t>
    </r>
    <r>
      <rPr>
        <sz val="11"/>
        <color rgb="FF333333"/>
        <rFont val="Calibri"/>
        <family val="2"/>
        <scheme val="minor"/>
      </rPr>
      <t> of -15.5 dBm while attenuating the transmitter leakage by 27.5 dB.</t>
    </r>
  </si>
  <si>
    <t>https://ieeexplore.ieee.org/stamp/stamp.jsp?tp=&amp;arnumber=7426730</t>
  </si>
  <si>
    <t>On the Design of Wideband Transformer-Based Fourth Order Matching Networks for E -Band Receivers in 28-nm CMOS</t>
  </si>
  <si>
    <t>Marco Vigilante, Patrick Reynaert</t>
  </si>
  <si>
    <r>
      <t>This paper discusses the design of on-chip transformer-based fourth order filters, suitable for mm-Wave highly sensitive broadband low-noise amplifiers (LNAs) and receivers (RXs) implemented in deep-scaled CMOS. Second order effects due to layout parasitics are analyzed and new design techniques are introduced to further enhance the gain-bandwidth product of this class of filters. The design and measurements of a broadband 28-nm bulk CMOS LNA and a sliding-IF RX tailored for E-band (i.e., 71-76-GHz and 81-86-GHz) point-to-point communication links are presented. Leveraging the proposed design methodologies, the E-band LNA achieves a figure of merit ≈10.5-dB better than state-of-the-art designs in the same band and comparable to LNAs at lower frequencies. The RX achieves 30.8-dB conversion gain with &lt;;1-dB in-band ripple over a 27.5-GHz BW-3-dB while demonstrating a 7.3-dB minimum NF with less than 2-dB variation from 61.4 to 88.9-GHz. The worst cases in-band ICP </t>
    </r>
    <r>
      <rPr>
        <sz val="8"/>
        <color rgb="FF333333"/>
        <rFont val="Calibri"/>
        <family val="2"/>
        <scheme val="minor"/>
      </rPr>
      <t>1-dB</t>
    </r>
    <r>
      <rPr>
        <sz val="11"/>
        <color rgb="FF333333"/>
        <rFont val="Calibri"/>
        <family val="2"/>
        <scheme val="minor"/>
      </rPr>
      <t> and IIP3 are -30.7 and -23.8-dBm, respectively, from a 0.9-V power supply. This wideband state-of-the-art performance enables robust and low power multi-Gb/s wireless communication over short to medium distance over the complete E-band with wide margin.</t>
    </r>
  </si>
  <si>
    <t>https://ieeexplore.ieee.org/stamp/stamp.jsp?tp=&amp;arnumber=7903663</t>
  </si>
  <si>
    <t>09/02/2000</t>
  </si>
  <si>
    <t>Ultra-wide dynamic range 1.75 dB noise-figure, 900 MHz CMOS LNA</t>
  </si>
  <si>
    <t>G. Gramegna, A. Magazzù, C. Sclafani, M. Paparo</t>
  </si>
  <si>
    <t>Efforts toward single-chip transceivers for wireless communications motivate integration of the low-noise amplifier (LNA) in CMOS technology. However, LNA design for CDMA and W-CDMA/UMTS transceivers operating from 860 to 2150 MHz typically requires input IP3/spl ges/0 dBm and noise figure NF/spl les/1.8. A wide-dynamic-range 900 MHz CMOS LNA uses the CMOS part of an RF dedicated BiCMOS process with 0.35 /spl mu/m minimum channel length. The process features on-chip inductors with Q&gt;8-10, nMOS f/sub T/&gt;26 GHz and nMOS transistors separated from the substrate.</t>
  </si>
  <si>
    <t>https://ieeexplore.ieee.org/stamp/stamp.jsp?tp=&amp;arnumber=839824</t>
  </si>
  <si>
    <t>0.5-1V 2GHz RF Front-end Circuits in CMOS/SIMOX</t>
  </si>
  <si>
    <t>Mitsuru Harada, Tsuneo Tsukahara, Junzo Yamada</t>
  </si>
  <si>
    <t>Minimizing supply voltage is one of the most effective ways to attain low-power RF circuits. These 2 GHz receiver front-end blocks operate down to 0.5 V. They are a low noise amplifier (LNA), a downconversion mixer, and a voltage-controlled oscillator (VCO) fabricated by 0.2 /spl mu/m fully-depleted CMOS/SIMOX technology, which is one of the thin-film silicon-on-insulator (SOI) technologies. The 0.5 V operation results from using two circuit techniques. One is an LC-tuned folded Gilbert cell, and the other is the use of undoped MOSFETs in the VCO core and buffers for the mixer and VCO. SOI devices have excellent RF performance even at voltages below 1V because of reduced capacitance in the drain region compared to bulk-CMOS technologies. Moreover, fully-depleted CMOS/SIMOX technology allows undoped MOSFETs with no process steps added to the normal digital CMOS/SIMOX LSI fabrication. The undoped MOSFETs are normally-on transistors and can be made simply by masking in the channel-doping process. Thus, they have the same structure as normal (doped) ones except for the impurity concentration in their channel region. They do not show punch-through current even in short-channel devices. This is because the potential of their thin-film channel region is perfectly controlled by the gate. The undoped MOSFETs are effective in designing RF circuits that operate at 0.5 V.</t>
  </si>
  <si>
    <t>https://ieeexplore.ieee.org/stamp/stamp.jsp?tp=&amp;arnumber=839823</t>
  </si>
  <si>
    <t>7/02/2001</t>
  </si>
  <si>
    <t>A +18 dBm IIP3 LNA in 0.35 /spl mu/m CMOS</t>
  </si>
  <si>
    <t>Yongwang Ding, Ramesh Harjan</t>
  </si>
  <si>
    <t>A feedforward linearization technique for RF CMOS LNAs makes feasible up to 40 dB output linearity improvement in current CMOS processes. A high-linearity LNA with +18 dBm IIP3 in a 0.35 /spl mu/m CMOS process shows little impact on power, noise, and gain.</t>
  </si>
  <si>
    <t>https://ieeexplore.ieee.org/stamp/stamp.jsp?tp=&amp;arnumber=912587</t>
  </si>
  <si>
    <t>A fully-integrated GPS receiver front-end with 40 mW power consumption</t>
  </si>
  <si>
    <t>Michiel Steyaert, Philippe Coppejans, Wouter De Cock, et.al</t>
  </si>
  <si>
    <t>A 0.25 /spl mu/m CMOS quadrature complex bandpass low-IF GPS receiver includes an LNA, PLL, mixer and a continuous-time /spl Delta//spl Sigma/ ADC. The chip has -130 dBm input sensitivity, 62 dB DR, and -32 dB IMRR, while consuming 40 mW from 2 V supply. The chip is 9 mm/sup 2/.</t>
  </si>
  <si>
    <t>https://ieeexplore.ieee.org/stamp/stamp.jsp?tp=&amp;arnumber=993099</t>
  </si>
  <si>
    <t>A 2GHz 16dBm IIP3 low noise amplifier in 0.25/spl mu/m CMOS technology</t>
  </si>
  <si>
    <t>Yong-Sik Youn, Jae-Hong Chang , Kwang-Jin Koh, et.al</t>
  </si>
  <si>
    <t>A 2GHz LNA implemented in a 0.25/spl mu/m CMOS technology delivers 14dB gain, 2.8dB NF and 16dBm IIP3. High linearity is obtained by a third-harmonic cancellation technique using a stacked triode structure with differential signals. The method, based on DC non-linear characteristics, improves delay equalization from DC-2GHz with a 17% power increase, 0.8dB gain reduction, and &lt;0.1dB NF increase.</t>
  </si>
  <si>
    <t>https://ieeexplore.ieee.org/stamp/stamp.jsp?tp=&amp;arnumber=1234383</t>
  </si>
  <si>
    <t>Integration of high-Q BAW resonators and filters above IC</t>
  </si>
  <si>
    <t xml:space="preserve">Marc-Alexandre Dubois, Christophe Billard, Claude Muller, et.al </t>
  </si>
  <si>
    <t>A double-lattice BAW filter with balanced input and output is designed with a center frequency of 2.14GHz. The filter is integrated directly above a 0.25/spl mu/m BiCMOS RF IC. Insertion loss of -3dB and out-of-band rejection better than -50dB are achieved. An integrated LNA comprising two broadband amplifiers and one BAW filter is also presented.</t>
  </si>
  <si>
    <t>https://ieeexplore.ieee.org/stamp/stamp.jsp?tp=&amp;arnumber=1494034</t>
  </si>
  <si>
    <t>04/02/2016</t>
  </si>
  <si>
    <t>To allow a maximum theoretical data-rate of 25Gb/s over a 1km distance using 64QAM, an E-Band system should feature a 20dBm-output-power TX and an RX with 10dB maximum noise figure (NF) over two bands of 5GHz from 71 to 76GHz and 81 to 86GHz [1]. To minimize the NF of a fully integrated RX front-end and to compensate for the low conversion gain and high noise of the following mixer, a broadband LNA with a gain in excess of 20dB showing a flat NF over more than a 15GHz bandwidth is required. Moreover, a variable-gain LNA design would be beneficial to accommodate environmental variability (e.g. atmospherics condition, rain, etc.). Prior works on CMOS car-radar transceivers have shown the feasibility of low-noise amplifiers at 79GHz. However, the bandwidth of these systems is limited to about 10GHz [2,3], which is not enough. This paper presents a 28nm-bulk-CMOS LNA for E-Band applications that employs transformer-based 4th-order inter-stage matching networks to achieve a 29.6dB gain over a 28.3GHz -3dB bandwidth (BW-3dB), resulting in a GBW product in excess of 0.8THz. The gain is variable from 29.6 to 18dB allowing an input-referred 1dB compression point (ICP1dB) that ranges from -28.1dBm at the highest gain to -12.3dBm at the lowest gain. The measured minimum in-band NF is 6.4dB, and the NF varies by less than 2dB from 68.1 to 90GHz. The LNA covers the two bands from 71 to 76GHz and from 81 to 86GHz with an almost uniform gain and NF and with a wide margin over desired specifications to compensate for PVT variations and model inaccuracy.</t>
  </si>
  <si>
    <t>https://ieeexplore.ieee.org/stamp/stamp.jsp?tp=&amp;arnumber=7418056</t>
  </si>
  <si>
    <t>09/02/2017</t>
  </si>
  <si>
    <t>Yuen Hui Chee, Fatih Golcuk, Toru Matsuura, et.al</t>
  </si>
  <si>
    <r>
      <t>Front-end modules (FEM) typically employ expensive III-V or SiGe technologies to provide relatively higher PA output power and lower LNA noise figure (NF) for larger distance coverage compared to what can be achieved in a CMOS transceiver SoC [1]. The WiFi FEM is typically designed as a standalone entity using linear and inefficient PA topologies, such as Class-A/AB, resulting in an FEM not taking advantage of the full capability of the transceiver SoC. Furthermore, due to the stringent EVM requirement, almost 10dB back-off from P </t>
    </r>
    <r>
      <rPr>
        <sz val="8"/>
        <color rgb="FF333333"/>
        <rFont val="Calibri"/>
        <family val="2"/>
        <scheme val="minor"/>
      </rPr>
      <t>sat</t>
    </r>
    <r>
      <rPr>
        <sz val="11"/>
        <color rgb="FF333333"/>
        <rFont val="Calibri"/>
        <family val="2"/>
        <scheme val="minor"/>
      </rPr>
      <t> is required, resulting in a poor PAE of &lt;;7% at +20dBm P </t>
    </r>
    <r>
      <rPr>
        <sz val="8"/>
        <color rgb="FF333333"/>
        <rFont val="Calibri"/>
        <family val="2"/>
        <scheme val="minor"/>
      </rPr>
      <t>out</t>
    </r>
    <r>
      <rPr>
        <sz val="11"/>
        <color rgb="FF333333"/>
        <rFont val="Calibri"/>
        <family val="2"/>
        <scheme val="minor"/>
      </rPr>
      <t> for the conventional Class-A/AB topologies regardless of device technology [1-3]. The CMOS FEM in Fig. 17.1.1 addresses the above issues and achieves performance comparable to that of GaAs/SiGe FEM but offers higher efficiency while using the full capability of the transceiver to enhance its performance. The proposed FEM integrates a PA, an LNA, a T/R switch, a transmit signal-strength indicator (TSSI) and an RF digital pre-distortion (DPD) calibration loopback path. It has two ICs integrated inside the same package. The PA, the LNA, and the DPD-loopback path are implemented on a 55nm bulk CMOS IC, while the T/R switch, PA output balun, and TSSI are integrated on a 0.18μm CMOS SOI IC.</t>
    </r>
  </si>
  <si>
    <t>https://ieeexplore.ieee.org/stamp/stamp.jsp?tp=&amp;arnumber=7870376</t>
  </si>
  <si>
    <t>A 40GHz to 67GHz bandwidth 23dB gain 5.8dB maximum NF mm-Wave LNA in 28nm CMOS</t>
  </si>
  <si>
    <t>Kambiz Hadipour, Andrea Ghilioni, Andrea Mazzanti, et.al</t>
  </si>
  <si>
    <t>Wide-band receivers at mm-waves enable several Gbit/s communications with simple modulation. This work presents the design of an ultra wide-band LNA in 28nm CMOS. Common source stages are stacked in a current-sharing configuration and coupled through third-order L-C band-pass networks. In addition, the stages are stagger-tuned to maximize bandwidth and gain flatness. Realized prototypes show 23dB peak gain over 40-67GHz with 5.8dB maximum in-band noise figure and 25.3mW power consumption.</t>
  </si>
  <si>
    <t>A 48–61 GHz LNA in 40-nm CMOS with 3.6 dB minimum NF employing a metal slotting method</t>
  </si>
  <si>
    <t>Hao Gao, Kuangyuan Ying, Marion K. Matters-Kammerer, et.al</t>
  </si>
  <si>
    <r>
      <t>This paper presents a low noise amplifier realized in 40-nm CMOS technology for the 60 GHz ISM band. To reduce the noise contribution from the input passive structure, a new metal slotting method is applied to the transmission line for increasing the effective conducting cross-section area. The design incorporates additional noise matching between the common-source stage and the common-gate stage to reduce the noise impact by the latter stage. The measured noise figure is below 4 dB from 51 GHz to 65 GHz, 3.6 dB at 55 GHz and 3.8 dB at 60 GHz. The achieved 3 dB power gain bandwidth is 13 GHz, from 48 GHz to 61 GHz. The peak transducer gain (G </t>
    </r>
    <r>
      <rPr>
        <sz val="8"/>
        <color rgb="FF333333"/>
        <rFont val="Calibri"/>
        <family val="2"/>
        <scheme val="minor"/>
      </rPr>
      <t>t</t>
    </r>
    <r>
      <rPr>
        <sz val="11"/>
        <color rgb="FF333333"/>
        <rFont val="Calibri"/>
        <family val="2"/>
        <scheme val="minor"/>
      </rPr>
      <t> ) is 15 dB at 55 GHz, and 12.5 dB at 60 GHz. The total power consumption is 20.4 mW.</t>
    </r>
  </si>
  <si>
    <t>A 4.7 mW W-Band LNA with 4.2 dB NF and 12 dB Gain Using Drain to Gate Feedback in 45nm CMOS RFSOI Technology</t>
  </si>
  <si>
    <t>Li Gao, Qian Ma, Gabriel M. Rebeiz</t>
  </si>
  <si>
    <t>This paper presents a W-band low-noise amplifier using 45nm CMOS RFSOI. The amplifier topology consists of a two-stage common-source design followed by a one-stage cascode, with drain-to-gate feedback applied to the last stage to further increase the gain. The measured gain is &gt; 10 dB at 80-95 GHz with a peak of 12 dB at 90 GHz. The measured noise figure (NF) is &lt;; 4.9 dB at 85-95 GHz with minimum of 4.2 dB at 90 GHz. This is achieved with a total power consumption of 4.7 mW. To our knowledge, this represents record-performance in term of gain, NF and power consumption at W-band for all silicon technologies.</t>
  </si>
  <si>
    <t>A Compact 75 GHz LNA with 20 dB Gain and 4 dB Noise Figure in 22nm FinFET CMOS Technology</t>
  </si>
  <si>
    <t>Woorim Shin, Steven Callender, Stefano Pellerano, Christopher Hull</t>
  </si>
  <si>
    <r>
      <t>This paper presents E-band (71-76 GHz) LNA design in 22nm CMOS FinFET technology. Stacked topology with DC current re-use for 2-stage cascaded LNA results in power efficient design with high performance. Measurement shows peak gain of 20 dB and minimum noise figure of 4 dB with 10.8 mA current consumption from 1 V supply. Measured 3-dB bandwidth is 10.4 GHz and input P </t>
    </r>
    <r>
      <rPr>
        <sz val="8"/>
        <color rgb="FF333333"/>
        <rFont val="Calibri"/>
        <family val="2"/>
        <scheme val="minor"/>
      </rPr>
      <t>1dB</t>
    </r>
    <r>
      <rPr>
        <sz val="11"/>
        <color rgb="FF333333"/>
        <rFont val="Calibri"/>
        <family val="2"/>
        <scheme val="minor"/>
      </rPr>
      <t> is -22.8 dBm. The active layout area of the LNA is 0.155 mm </t>
    </r>
    <r>
      <rPr>
        <sz val="8"/>
        <color rgb="FF333333"/>
        <rFont val="Calibri"/>
        <family val="2"/>
        <scheme val="minor"/>
      </rPr>
      <t>2</t>
    </r>
    <r>
      <rPr>
        <sz val="11"/>
        <color rgb="FF333333"/>
        <rFont val="Calibri"/>
        <family val="2"/>
        <scheme val="minor"/>
      </rPr>
      <t> . To the authors' knowledge, these are the state-of-art values in terms of noise figure and DC power consumption among E-band CMOS LNAs reported in the literature.</t>
    </r>
  </si>
  <si>
    <t>A 2-GHz RF front-end transceiver chipset in CMOS technology for PCS and IMT-2000 applications</t>
  </si>
  <si>
    <t>Yong-Sik Youn, Nam-Soo Kim, Jae-Hong Chang, et.al</t>
  </si>
  <si>
    <t>This paper describes RF front-end transceiver chipset for the dual-mode operation of PCS and IMT-2000. The transceiver chipset has been implemented in a 0.25 /spl mu/m single-poly five-metal CMOS technology. The receiver IC consists of a LNA and a down-mixer, and the transmitter IC integrates an up-mixer. Measurements show that the transceiver chipset covers the wide RF range from 1.8 GHz for PCS to 2.1 GHz for IMT-2000. The LNA has 2.5/spl sim/2.8 dB NF, 13/spl sim/12 dB gain and 6-4 dBm IIP3. The down mixer has 15.5/spl sim/16.0 dB DSB NF, 15-13 dB power conversion gain and 2-0 dBm IIP3. The up-mixer has 0/spl sim/2 dB power conversion gain and 6/spl sim/3 dBm OIP3. With a single 3.0 V power supply, the LNA, down-mixer, and up-mixer consume 5 mA, 30 mA, and 25 mA, respectively.</t>
  </si>
  <si>
    <t>A low-power 435-MHz SOI CMOS LNA and mixer</t>
  </si>
  <si>
    <t>Ertan Zencirl, Numan S. Dogan, Ercument Arvas</t>
  </si>
  <si>
    <t>A low-power 435-MHz single-ended low-noise amplifier and a double-balanced mixer was implemented in a 0.35-/spl mu/m Silicon On Insulator (SOI) CMOS process. The single-ended LNA has a measured noise figure of 2.91 dB, and the mixer has an input third-order intercept point of +20 dBm. Total power dissipation of the LNA and mixer is 24 mW from a 2.5-V supply. This is the first LNA-mixer pair implemented at 435 MHz using an SOI CMOS process.</t>
  </si>
  <si>
    <t>A novel IP3 boosting technique using feedforward distortion cancellation method for 5 GHz CMOS LNA</t>
  </si>
  <si>
    <t>Min Lin, Yongming Li, Hongyi Chen</t>
  </si>
  <si>
    <t>Low noise amplifier (LNA) in many wireless and wireline communication systems must have low noise, sufficient gain and high linearity performance. This paper presents a novel IP3 boosting technique using the Feedforward Distortion Cancellation (FDC) method. Through this technique, the IIP3 of LNA can be boosted from +5dBm, which is reported in most public literature to date, to +21dBm, which is firstly reported here, without any noise and gain degradation. In addition, the noise figure can be reduced by about 0.4 dB and the gain increased by 0.4 dB due to the additional gain path.</t>
  </si>
  <si>
    <t>0.25μm CMOS Dual Feedback Wide-Band UHF Low Noise Amplifier</t>
  </si>
  <si>
    <t>Ivy Lo, Olga Boric-Lubecke, Victor Lubecke</t>
  </si>
  <si>
    <t>This paper presents a CMOS low noise amplifier (LNA) for UHF band applications. By using an inverter to enhance the overall transconductance, and a resistive shunt feedback topology with a source degenerated inductor, a wide bandwidth from 50 MHz to 560 MHz is achieved, with a peak power gain of 13.8 dB. A noise figure of 1.8 to 2.4 dB is obtained in the frequency range of 200 MHz and 1.5 GHz. At 450 MHz, this LNA exhibits IIP3 of 6.15 dBm, and input P1dB of -6 dBm. The LNA is biased at 2.4 V, drawing a current of 14 mA. Compared to other published wide-band LNAs, this amplifier achieves the best linearity for NF below 2.5 dB, with low circuit complexity.</t>
  </si>
  <si>
    <t>LNA Design with CMOS SOI Process-l.4dB NF K/Ka band LNA</t>
  </si>
  <si>
    <t>Chaojiang Li, Omar El-Aassar, Arvind Kumar, et.al</t>
  </si>
  <si>
    <t>In this paper we first discuss about how to select the device type to get best LNA NF for applications ranging from sub-6GHz to 5G mm-Wave Ka-band. A prototype Ka-band fully integrated LNA is designed and fabricated in 45nm CMOS SOI process with a chip area of 530 μm × 570 μm. The LNA achieves a 3-dB bandwidth greater than 10 GHz while the NF remains below 2dB. From 24 to 28 GHz, the LNA achieves a gain of 14-12.8dB, IIP3 of 4-5 dBm, and NF around 1.4 dB (1.3-1.6 dB over several tests), from a 1.5 V supply with 10mA of current. In low power mode, the NF is around 1.5dB with a gain of 12.6dB and 7mW power consumption. To the authors knowledge, this is the best NF achieved at 28 GHz by any CMOS process and close to latest GaAs data with FOM larger than 250.</t>
  </si>
  <si>
    <t>100-mV 44-µW 2.4-GHz LNA in 16 nm FinFET technology</t>
  </si>
  <si>
    <t>Ying-Ta Lu, Jun-De Jin</t>
  </si>
  <si>
    <t>To achieve both ultra-low-voltage (ULV) and ultra-low-power (ULP), we adopted the sub-threshold design on gate and near-triode design on drain terminals. The proposed low-noise amplifier (LNA) achieves a power gain of 6.9 dB and a noise figure (NF) of 3.0 dB at 2.4 GHz. The PDC is 44 μW under a VDD of 100 mV. The input and output matching are -10.4 dB and -5.7 dB, respectively. The LNA is fabricated in TSMC FinFET Plus CMOS technology.</t>
  </si>
  <si>
    <t>A 12.5 mW Packaged K-Band CMOS SOI LNA with 1.5 dB NF</t>
  </si>
  <si>
    <t>Abdurrahman H. Aljuhani, Gabriel M. Rebeiz</t>
  </si>
  <si>
    <t>This paper presents a packaged single-ended low-noise amplifier (LNA) for a K-band SATCOM phased-array receiver. The LNA is fabricated in a 45 nm Semiconductor-on-Insulator (SOI) CMOS process technology. It has a measured peak gain of 23.1 dB at 17.4 GHz with a 3-dB bandwidth (BW) of 8.1 GHz (13.9 – 22.0 GHz). The measured NF is 1.5 dB at (15.7 – 17.2 GHz) and it is &lt; 1.7 dB at (13.9 – 20.9 GHz). At 18 GHz, the measured IP1dB, and IIP3 are −21.6, and −12 dBm, respectively. The CMOS LNA achieved this high gain and low NF with a power consumption of 12.5 mW. At 18 GHz, when the power consumption is increased to 21.6 mW, the measured gain is 24.4 dB, and the measured NF is 1.38 dB. To the authors’ knowledge, this packaged single-ended CMOS LNA has the highest gain, with the lowest NF, and power consumption when compared to published packaged and non-packaged K-Band LNAs in SiGe and CMOS processes.</t>
  </si>
  <si>
    <t>A GSM LNA using mutual-coupled degeneration</t>
  </si>
  <si>
    <t>Chunyu Xin, Edgar Sánchez-Sinencio</t>
  </si>
  <si>
    <t>This letter presents a low noise amplifier (LNA) input impedance matching technique using mutual coupled inductors. This scheme not only provides the required input impedance matching but also interstage impedance transformation for the cascoded transistor. The mutual coupled inductors also help to improve the circuit's reverse isolation. A 900-MHz global system for mobile communication LNA using this technique is designed and fabricated using 0.35-μm standard complementary metal oxide semiconductor technology. It achieves a 17-dB gain, 3.4-dB noise figure, and -5.1-dBm IIP3. The LNA draws 5.6 mA from a single 2.3-V power supply.</t>
  </si>
  <si>
    <t>A low-voltage and variable-gain distributed amplifier for 3.1-10.6 GHz UWB systems</t>
  </si>
  <si>
    <t>Shih-Chieh Shin, Chin-Shen Lin, Ming-Da Tsai, et.al</t>
  </si>
  <si>
    <t>A low-voltage and variable-gain distributed amplifier is presented in this letter. This microwave monolithic integrated circuit amplifier achieves 12-dB gain with a 3-dB frequency band of 1.6-12.1GHz and 6.5-dB noise figure under the bias condition of 0.8-V supply voltage and 6.4-mW total dc power consumption. The gain-control range is from -18dB to +20dB. Resistive metal-oxide-semiconductor field-effect transistors are used as termination resistors to compensate the mismatch due to different bias conditions. From 3.1 to 10.6GHz, the maximum gain ripple of this amplifier is only /spl plusmn/1dB for the gain level between -4 and 20dB.</t>
  </si>
  <si>
    <t>A 1 V 23 GHz Low-Noise Amplifier in 45 nm Planar Bulk-CMOS Technology With High-Q Above-IC Inductors</t>
  </si>
  <si>
    <t>Wen-Chieh Wang, Zue-Der Huang, Geert Carcho, et.al</t>
  </si>
  <si>
    <r>
      <t>A 23 GHz electrostatic discharge-protected low-noise amplifier (LNA) has been designed and implemented by 45 nm planar bulk-CMOS technology with high-Q above-IC inductors. In the designed LNA, the structure of a one-stage cascode amplifier with source inductive degeneration is used. All high-Q above-IC inductors have been implemented by thin-film wafer-level packaging technology. The fabricated LNA has a good linearity where the input 1 dB compression point (IP </t>
    </r>
    <r>
      <rPr>
        <sz val="8"/>
        <color rgb="FF333333"/>
        <rFont val="Calibri"/>
        <family val="2"/>
        <scheme val="minor"/>
      </rPr>
      <t>-1dB</t>
    </r>
    <r>
      <rPr>
        <sz val="11"/>
        <color rgb="FF333333"/>
        <rFont val="Calibri"/>
        <family val="2"/>
        <scheme val="minor"/>
      </rPr>
      <t> ) is -9.5 dBm and the input referred third-order intercept point ( P </t>
    </r>
    <r>
      <rPr>
        <sz val="8"/>
        <color rgb="FF333333"/>
        <rFont val="Calibri"/>
        <family val="2"/>
        <scheme val="minor"/>
      </rPr>
      <t>IIP3</t>
    </r>
    <r>
      <rPr>
        <sz val="11"/>
        <color rgb="FF333333"/>
        <rFont val="Calibri"/>
        <family val="2"/>
        <scheme val="minor"/>
      </rPr>
      <t> ) is + 2.25 dBm. It is operated with a 1 V power supply drawing a current of only 3.6 mA. The fabricated LNA has demonstrated a 4 dB noise figure and a 7.1 dB gain at the peak gain frequency of 23 GHz, and it has the highest figure-of-merit. The experimental results have proved the suitability of 45 nm gate length bulk-CMOS devices for RF ICs above 20 GHz.</t>
    </r>
  </si>
  <si>
    <t>32 dB Gain 28 nm Bulk CMOS W-Band LNA</t>
  </si>
  <si>
    <t>Domenico Pepe, Domenico Zito</t>
  </si>
  <si>
    <t>A high gain W-band low noise amplifier for radiometric applications in 28 nm bulk CMOS technology is presented. Pads, inductors, capacitors and coplanar waveguides have been custom designed. The parasitic effects of the transistor layout have been evaluated by means of electromagnetic simulations and calculations based on data reported in the design rule manual of the technology. The amplifier consists of six cascode stages with input, output and interstage conjugate matching for maximum power transfer. Measurement results show a peak gain of 32 dB and a noise figure of 5.3 dB at 91 GHz.</t>
  </si>
  <si>
    <t>A 53–117 GHz LNA in 28-nm FDSOI CMOS</t>
  </si>
  <si>
    <t>Denizhan Karaca, Mikko Varonen, Dristy Parveg, et.al</t>
  </si>
  <si>
    <t>This letter presents the design of a wideband millimeter-wave (mm-wave) low-noise amplifier (LNA) in a 28-nm FDSOI CMOS technology. Having a total power consumption of 38.2 mW, the LNA provides gain over 12 dB from 53 to 117 GHz, and has a measured NF of 6 dB from 75 to 105 GHz. To the author's best knowledge, the presented LNA achieves the lowest NF with widest bandwidth among previously presented wideband CMOS LNAs operating in the W-band.</t>
  </si>
  <si>
    <t>***(This LNA has gain that dips to 5dB at around 5GHz)</t>
  </si>
  <si>
    <t>***(Upper frequency limited by equipment)</t>
  </si>
  <si>
    <t>***(This LNA has two gain peaks)</t>
  </si>
  <si>
    <t>**(This LNA can be biased at two different voltages)</t>
  </si>
  <si>
    <t>***(Operating frequency combines S11 bandwidth (lower limit) and 3dB bandwidth (upper limit))</t>
  </si>
  <si>
    <t>**(This LNA has two gain modes)</t>
  </si>
  <si>
    <t>https://ieeexplore.ieee.org/stamp/stamp.jsp?tp=&amp;arnumber=1589481</t>
  </si>
  <si>
    <t>https://ieeexplore.ieee.org/stamp/stamp.jsp?tp=&amp;arnumber=1573795&amp;tag=1</t>
  </si>
  <si>
    <t>https://ieeexplore.ieee.org/stamp/stamp.jsp?tp=&amp;arnumber=1420761</t>
  </si>
  <si>
    <t>https://ieeexplore.ieee.org/stamp/stamp.jsp?tp=&amp;arnumber=1406273&amp;tag=1</t>
  </si>
  <si>
    <t>https://ieeexplore.ieee.org/stamp/stamp.jsp?tp=&amp;arnumber=1295142</t>
  </si>
  <si>
    <t>https://ieeexplore.ieee.org/stamp/stamp.jsp?tp=&amp;arnumber=1393196</t>
  </si>
  <si>
    <t>https://ieeexplore.ieee.org/stamp/stamp.jsp?tp=&amp;arnumber=1393200&amp;tag=1</t>
  </si>
  <si>
    <t>https://ieeexplore.ieee.org/stamp/stamp.jsp?tp=&amp;arnumber=1420746</t>
  </si>
  <si>
    <t>https://ieeexplore.ieee.org/stamp/stamp.jsp?tp=&amp;arnumber=4738429</t>
  </si>
  <si>
    <t>https://ieeexplore.ieee.org/stamp/stamp.jsp?tp=&amp;arnumber=4787559</t>
  </si>
  <si>
    <t>https://ieeexplore.ieee.org/stamp/stamp.jsp?tp=&amp;arnumber=5308726</t>
  </si>
  <si>
    <t>https://ieeexplore.ieee.org/stamp/stamp.jsp?tp=&amp;arnumber=5405149</t>
  </si>
  <si>
    <t>https://ieeexplore.ieee.org/stamp/stamp.jsp?tp=&amp;arnumber=5419179</t>
  </si>
  <si>
    <t>https://ieeexplore.ieee.org/stamp/stamp.jsp?tp=&amp;arnumber=5940665</t>
  </si>
  <si>
    <t>https://ieeexplore.ieee.org/stamp/stamp.jsp?tp=&amp;arnumber=6242222</t>
  </si>
  <si>
    <t>https://ieeexplore.ieee.org/stamp/stamp.jsp?tp=&amp;arnumber=6242223</t>
  </si>
  <si>
    <t>https://ieeexplore.ieee.org/stamp/stamp.jsp?tp=&amp;arnumber=6242138</t>
  </si>
  <si>
    <t>https://ieeexplore.ieee.org/stamp/stamp.jsp?tp=&amp;arnumber=6242265</t>
  </si>
  <si>
    <t>https://ieeexplore.ieee.org/stamp/stamp.jsp?tp=&amp;arnumber=6242325</t>
  </si>
  <si>
    <t>https://ieeexplore.ieee.org/stamp/stamp.jsp?tp=&amp;arnumber=6242340</t>
  </si>
  <si>
    <t>https://ieeexplore.ieee.org/stamp/stamp.jsp?tp=&amp;arnumber=6569554</t>
  </si>
  <si>
    <t>https://ieeexplore.ieee.org/stamp/stamp.jsp?tp=&amp;arnumber=6569555</t>
  </si>
  <si>
    <t>https://ieeexplore.ieee.org/stamp/stamp.jsp?tp=&amp;arnumber=6569553</t>
  </si>
  <si>
    <t>https://ieeexplore.ieee.org/stamp/stamp.jsp?tp=&amp;arnumber=7337771</t>
  </si>
  <si>
    <t>https://ieeexplore.ieee.org/stamp/stamp.jsp?tp=&amp;arnumber=7508271</t>
  </si>
  <si>
    <t>https://ieeexplore.ieee.org/stamp/stamp.jsp?tp=&amp;arnumber=7508274</t>
  </si>
  <si>
    <t>https://ieeexplore.ieee.org/stamp/stamp.jsp?tp=&amp;arnumber=7969048</t>
  </si>
  <si>
    <t>https://ieeexplore.ieee.org/stamp/stamp.jsp?tp=&amp;arnumber=7969061</t>
  </si>
  <si>
    <t>https://ieeexplore.ieee.org/stamp/stamp.jsp?tp=&amp;arnumber=8429004</t>
  </si>
  <si>
    <t>https://ieeexplore.ieee.org/stamp/stamp.jsp?tp=&amp;arnumber=8428986</t>
  </si>
  <si>
    <t>https://ieeexplore.ieee.org/stamp/stamp.jsp?tp=&amp;arnumber=8429036</t>
  </si>
  <si>
    <t>https://ieeexplore.ieee.org/stamp/stamp.jsp?tp=&amp;arnumber=1011547</t>
  </si>
  <si>
    <t>https://ieeexplore.ieee.org/stamp/stamp.jsp?tp=&amp;arnumber=1210999</t>
  </si>
  <si>
    <t>https://ieeexplore.ieee.org/stamp/stamp.jsp?tp=&amp;arnumber=1211065</t>
  </si>
  <si>
    <t>https://ieeexplore.ieee.org/stamp/stamp.jsp?tp=&amp;arnumber=4014892</t>
  </si>
  <si>
    <t>https://ieeexplore.ieee.org/stamp/stamp.jsp?tp=&amp;arnumber=4264204</t>
  </si>
  <si>
    <t>https://ieeexplore.ieee.org/stamp/stamp.jsp?tp=&amp;arnumber=4264009</t>
  </si>
  <si>
    <t>https://ieeexplore.ieee.org/stamp/stamp.jsp?tp=&amp;arnumber=4264281&amp;tag=1</t>
  </si>
  <si>
    <t>https://ieeexplore.ieee.org/stamp/stamp.jsp?tp=&amp;arnumber=5165761</t>
  </si>
  <si>
    <t>https://ieeexplore.ieee.org/stamp/stamp.jsp?tp=&amp;arnumber=5165787</t>
  </si>
  <si>
    <t>https://ieeexplore.ieee.org/stamp/stamp.jsp?tp=&amp;arnumber=5165786</t>
  </si>
  <si>
    <t>https://ieeexplore.ieee.org/stamp/stamp.jsp?tp=&amp;arnumber=5165664</t>
  </si>
  <si>
    <t>https://ieeexplore.ieee.org/stamp/stamp.jsp?tp=&amp;arnumber=5515216</t>
  </si>
  <si>
    <t>https://ieeexplore.ieee.org/stamp/stamp.jsp?tp=&amp;arnumber=5518149</t>
  </si>
  <si>
    <t>https://ieeexplore.ieee.org/stamp/stamp.jsp?tp=&amp;arnumber=5517800</t>
  </si>
  <si>
    <t>https://ieeexplore.ieee.org/stamp/stamp.jsp?tp=&amp;arnumber=5972579</t>
  </si>
  <si>
    <t>https://ieeexplore.ieee.org/stamp/stamp.jsp?tp=&amp;arnumber=5972656</t>
  </si>
  <si>
    <t>https://ieeexplore.ieee.org/stamp/stamp.jsp?tp=&amp;arnumber=6258378</t>
  </si>
  <si>
    <t>https://ieeexplore.ieee.org/stamp/stamp.jsp?tp=&amp;arnumber=6258388</t>
  </si>
  <si>
    <t>https://ieeexplore.ieee.org/stamp/stamp.jsp?tp=&amp;arnumber=6258403</t>
  </si>
  <si>
    <t>https://ieeexplore.ieee.org/stamp/stamp.jsp?tp=&amp;arnumber=6259481</t>
  </si>
  <si>
    <t>https://ieeexplore.ieee.org/stamp/stamp.jsp?tp=&amp;arnumber=6259515</t>
  </si>
  <si>
    <t>https://ieeexplore.ieee.org/stamp/stamp.jsp?tp=&amp;arnumber=6259741</t>
  </si>
  <si>
    <t>https://ieeexplore.ieee.org/stamp/stamp.jsp?tp=&amp;arnumber=6697468</t>
  </si>
  <si>
    <t>https://ieeexplore.ieee.org/document/6697369</t>
  </si>
  <si>
    <t>https://ieeexplore.ieee.org/stamp/stamp.jsp?tp=&amp;arnumber=6697349</t>
  </si>
  <si>
    <t>https://ieeexplore.ieee.org/stamp/stamp.jsp?tp=&amp;arnumber=7540301</t>
  </si>
  <si>
    <t>https://ieeexplore.ieee.org/stamp/stamp.jsp?tp=&amp;arnumber=7540298</t>
  </si>
  <si>
    <t>https://ieeexplore.ieee.org/stamp/stamp.jsp?tp=&amp;arnumber=8058688</t>
  </si>
  <si>
    <t>https://ieeexplore.ieee.org/stamp/stamp.jsp?tp=&amp;arnumber=8439539</t>
  </si>
  <si>
    <t>https://ieeexplore.ieee.org/stamp/stamp.jsp?tp=&amp;arnumber=8439132</t>
  </si>
  <si>
    <t>https://ieeexplore.ieee.org/stamp/stamp.jsp?tp=&amp;arnumber=8701035</t>
  </si>
  <si>
    <t>https://ieeexplore.ieee.org/stamp/stamp.jsp?tp=&amp;arnumber=8700859</t>
  </si>
  <si>
    <t>https://ieeexplore.ieee.org/stamp/stamp.jsp?tp=&amp;arnumber=1261772</t>
  </si>
  <si>
    <t>https://ieeexplore.ieee.org/stamp/stamp.jsp?tp=&amp;arnumber=1278382</t>
  </si>
  <si>
    <t>https://ieeexplore.ieee.org/stamp/stamp.jsp?tp=&amp;arnumber=1390967</t>
  </si>
  <si>
    <t>https://ieeexplore.ieee.org/stamp/stamp.jsp?tp=&amp;arnumber=1458805</t>
  </si>
  <si>
    <t>https://ieeexplore.ieee.org/stamp/stamp.jsp?tp=&amp;arnumber=1504844</t>
  </si>
  <si>
    <t>https://ieeexplore.ieee.org/stamp/stamp.jsp?tp=&amp;arnumber=1512222</t>
  </si>
  <si>
    <t>https://ieeexplore.ieee.org/stamp/stamp.jsp?tp=&amp;arnumber=1603590</t>
  </si>
  <si>
    <t>https://ieeexplore.ieee.org/stamp/stamp.jsp?tp=&amp;arnumber=1613891</t>
  </si>
  <si>
    <t>https://ieeexplore.ieee.org/stamp/stamp.jsp?tp=&amp;arnumber=1613889</t>
  </si>
  <si>
    <t>https://ieeexplore.ieee.org/stamp/stamp.jsp?tp=&amp;arnumber=1637484</t>
  </si>
  <si>
    <t>https://ieeexplore.ieee.org/stamp/stamp.jsp?tp=&amp;arnumber=1717520</t>
  </si>
  <si>
    <t>https://ieeexplore.ieee.org/stamp/stamp.jsp?tp=&amp;arnumber=4118228</t>
  </si>
  <si>
    <t>https://ieeexplore.ieee.org/stamp/stamp.jsp?tp=&amp;arnumber=4118211</t>
  </si>
  <si>
    <t>https://ieeexplore.ieee.org/stamp/stamp.jsp?tp=&amp;arnumber=4266854</t>
  </si>
  <si>
    <t>https://ieeexplore.ieee.org/stamp/stamp.jsp?tp=&amp;arnumber=4285660</t>
  </si>
  <si>
    <t>https://ieeexplore.ieee.org/stamp/stamp.jsp?tp=&amp;arnumber=4336148</t>
  </si>
  <si>
    <t>https://ieeexplore.ieee.org/stamp/stamp.jsp?tp=&amp;arnumber=4336132</t>
  </si>
  <si>
    <t>https://ieeexplore.ieee.org/stamp/stamp.jsp?tp=&amp;arnumber=4385756</t>
  </si>
  <si>
    <t>https://ieeexplore.ieee.org/stamp/stamp.jsp?tp=&amp;arnumber=4441366</t>
  </si>
  <si>
    <t>https://ieeexplore.ieee.org/stamp/stamp.jsp?tp=&amp;arnumber=4459263</t>
  </si>
  <si>
    <t>https://ieeexplore.ieee.org/stamp/stamp.jsp?tp=&amp;arnumber=4530745</t>
  </si>
  <si>
    <t>https://ieeexplore.ieee.org/stamp/stamp.jsp?tp=&amp;arnumber=4538236</t>
  </si>
  <si>
    <t>https://ieeexplore.ieee.org/stamp/stamp.jsp?tp=&amp;arnumber=4770122</t>
  </si>
  <si>
    <t>https://ieeexplore.ieee.org/stamp/stamp.jsp?tp=&amp;arnumber=4796234</t>
  </si>
  <si>
    <t>https://ieeexplore.ieee.org/stamp/stamp.jsp?tp=&amp;arnumber=4804642</t>
  </si>
  <si>
    <t>https://ieeexplore.ieee.org/stamp/stamp.jsp?tp=&amp;arnumber=4840510</t>
  </si>
  <si>
    <t>https://ieeexplore.ieee.org/stamp/stamp.jsp?tp=&amp;arnumber=4840599</t>
  </si>
  <si>
    <t>https://ieeexplore.ieee.org/stamp/stamp.jsp?tp=&amp;arnumber=5109484</t>
  </si>
  <si>
    <t>https://ieeexplore.ieee.org/stamp/stamp.jsp?tp=&amp;arnumber=5234040</t>
  </si>
  <si>
    <t>https://ieeexplore.ieee.org/stamp/stamp.jsp?tp=&amp;arnumber=5290008</t>
  </si>
  <si>
    <t>https://ieeexplore.ieee.org/stamp/stamp.jsp?tp=&amp;arnumber=5290092</t>
  </si>
  <si>
    <t>https://ieeexplore.ieee.org/stamp/stamp.jsp?tp=&amp;arnumber=5350392</t>
  </si>
  <si>
    <t>https://ieeexplore.ieee.org/stamp/stamp.jsp?tp=&amp;arnumber=5398816</t>
  </si>
  <si>
    <t>https://ieeexplore.ieee.org/stamp/stamp.jsp?tp=&amp;arnumber=5443550</t>
  </si>
  <si>
    <t>https://ieeexplore.ieee.org/stamp/stamp.jsp?tp=&amp;arnumber=5456196</t>
  </si>
  <si>
    <t>https://ieeexplore.ieee.org/stamp/stamp.jsp?tp=&amp;arnumber=5481981</t>
  </si>
  <si>
    <t>https://ieeexplore.ieee.org/stamp/stamp.jsp?tp=&amp;arnumber=5508353</t>
  </si>
  <si>
    <t>https://ieeexplore.ieee.org/stamp/stamp.jsp?tp=&amp;arnumber=5545483</t>
  </si>
  <si>
    <t>https://ieeexplore.ieee.org/stamp/stamp.jsp?tp=&amp;arnumber=5594753</t>
  </si>
  <si>
    <t>https://ieeexplore.ieee.org/stamp/stamp.jsp?tp=&amp;arnumber=5613950</t>
  </si>
  <si>
    <t>https://ieeexplore.ieee.org/stamp/stamp.jsp?tp=&amp;arnumber=5705520</t>
  </si>
  <si>
    <t>https://ieeexplore.ieee.org/stamp/stamp.jsp?tp=&amp;arnumber=5768041</t>
  </si>
  <si>
    <t>https://ieeexplore.ieee.org/stamp/stamp.jsp?tp=&amp;arnumber=5871296</t>
  </si>
  <si>
    <t>https://ieeexplore.ieee.org/stamp/stamp.jsp?tp=&amp;arnumber=6034540</t>
  </si>
  <si>
    <t>https://ieeexplore.ieee.org/stamp/stamp.jsp?tp=&amp;arnumber=6035999</t>
  </si>
  <si>
    <t>https://ieeexplore.ieee.org/stamp/stamp.jsp?tp=&amp;arnumber=6070986</t>
  </si>
  <si>
    <t>https://ieeexplore.ieee.org/stamp/stamp.jsp?tp=&amp;arnumber=6168210</t>
  </si>
  <si>
    <t>https://ieeexplore.ieee.org/stamp/stamp.jsp?tp=&amp;arnumber=6171880</t>
  </si>
  <si>
    <t>https://ieeexplore.ieee.org/stamp/stamp.jsp?tp=&amp;arnumber=6184339</t>
  </si>
  <si>
    <t>https://ieeexplore.ieee.org/stamp/stamp.jsp?tp=&amp;arnumber=6276228</t>
  </si>
  <si>
    <t>https://ieeexplore.ieee.org/stamp/stamp.jsp?tp=&amp;arnumber=6310076</t>
  </si>
  <si>
    <t>https://ieeexplore.ieee.org/stamp/stamp.jsp?tp=&amp;arnumber=6609149</t>
  </si>
  <si>
    <t>https://ieeexplore.ieee.org/stamp/stamp.jsp?tp=&amp;arnumber=6636113</t>
  </si>
  <si>
    <t>https://ieeexplore.ieee.org/stamp/stamp.jsp?tp=&amp;arnumber=6712153</t>
  </si>
  <si>
    <t>https://ieeexplore.ieee.org/stamp/stamp.jsp?tp=&amp;arnumber=6766262</t>
  </si>
  <si>
    <t>https://ieeexplore.ieee.org/stamp/stamp.jsp?tp=&amp;arnumber=6784509</t>
  </si>
  <si>
    <t>https://ieeexplore.ieee.org/stamp/stamp.jsp?tp=&amp;arnumber=6827263</t>
  </si>
  <si>
    <t>https://ieeexplore.ieee.org/stamp/stamp.jsp?tp=&amp;arnumber=6842675</t>
  </si>
  <si>
    <t>https://ieeexplore.ieee.org/stamp/stamp.jsp?tp=&amp;arnumber=6945912</t>
  </si>
  <si>
    <t>https://ieeexplore.ieee.org/stamp/stamp.jsp?tp=&amp;arnumber=6963514</t>
  </si>
  <si>
    <t>https://ieeexplore.ieee.org/stamp/stamp.jsp?tp=&amp;arnumber=7124546</t>
  </si>
  <si>
    <t>https://ieeexplore.ieee.org/stamp/stamp.jsp?tp=&amp;arnumber=7331676</t>
  </si>
  <si>
    <t>https://ieeexplore.ieee.org/stamp/stamp.jsp?tp=&amp;arnumber=7390172</t>
  </si>
  <si>
    <t>https://ieeexplore.ieee.org/stamp/stamp.jsp?tp=&amp;arnumber=7580645</t>
  </si>
  <si>
    <t>https://ieeexplore.ieee.org/stamp/stamp.jsp?tp=&amp;arnumber=7725501</t>
  </si>
  <si>
    <t>https://ieeexplore.ieee.org/stamp/stamp.jsp?tp=&amp;arnumber=7726025</t>
  </si>
  <si>
    <t>https://ieeexplore.ieee.org/stamp/stamp.jsp?tp=&amp;arnumber=7792180</t>
  </si>
  <si>
    <t>https://ieeexplore.ieee.org/stamp/stamp.jsp?tp=&amp;arnumber=7828137</t>
  </si>
  <si>
    <t>https://ieeexplore.ieee.org/stamp/stamp.jsp?tp=&amp;arnumber=7837635</t>
  </si>
  <si>
    <t>https://ieeexplore.ieee.org/stamp/stamp.jsp?tp=&amp;arnumber=7892927</t>
  </si>
  <si>
    <t>https://ieeexplore.ieee.org/stamp/stamp.jsp?tp=&amp;arnumber=7932958</t>
  </si>
  <si>
    <t>https://ieeexplore.ieee.org/stamp/stamp.jsp?tp=&amp;arnumber=7955068</t>
  </si>
  <si>
    <t>https://ieeexplore.ieee.org/stamp/stamp.jsp?tp=&amp;arnumber=8612926</t>
  </si>
  <si>
    <t>https://ieeexplore.ieee.org/stamp/stamp.jsp?tp=&amp;arnumber=8625680</t>
  </si>
  <si>
    <t>https://ieeexplore.ieee.org/stamp/stamp.jsp?tp=&amp;arnumber=8708936</t>
  </si>
  <si>
    <t>https://ieeexplore.ieee.org/stamp/stamp.jsp?tp=&amp;arnumber=8734775</t>
  </si>
  <si>
    <t>https://ieeexplore.ieee.org/stamp/stamp.jsp?tp=&amp;arnumber=1179407&amp;tag=2</t>
  </si>
  <si>
    <t>https://ieeexplore.ieee.org/stamp/stamp.jsp?tp=&amp;arnumber=1262687&amp;tag=2</t>
  </si>
  <si>
    <t>https://ieeexplore.ieee.org/stamp/stamp.jsp?tp=&amp;arnumber=1266899</t>
  </si>
  <si>
    <t>https://ieeexplore.ieee.org/stamp/stamp.jsp?tp=&amp;arnumber=1603876</t>
  </si>
  <si>
    <t>https://ieeexplore.ieee.org/stamp/stamp.jsp?tp=&amp;arnumber=4639528</t>
  </si>
  <si>
    <t>https://ieeexplore.ieee.org/stamp/stamp.jsp?tp=&amp;arnumber=6242224</t>
  </si>
  <si>
    <t>https://ieeexplore.ieee.org/stamp/stamp.jsp?tp=&amp;arnumber=7337746</t>
  </si>
  <si>
    <t>https://ieeexplore.ieee.org/stamp/stamp.jsp?tp=&amp;arnumber=7337794</t>
  </si>
  <si>
    <t>https://ieeexplore.ieee.org/stamp/stamp.jsp?tp=&amp;arnumber=8429020</t>
  </si>
  <si>
    <t>https://ieeexplore.ieee.org/stamp/stamp.jsp?tp=&amp;arnumber=1011670</t>
  </si>
  <si>
    <t>https://ieeexplore.ieee.org/stamp/stamp.jsp?tp=&amp;arnumber=1011891</t>
  </si>
  <si>
    <t>https://ieeexplore.ieee.org/stamp/stamp.jsp?tp=&amp;arnumber=1210437</t>
  </si>
  <si>
    <t>https://ieeexplore.ieee.org/stamp/stamp.jsp?tp=&amp;arnumber=1210436</t>
  </si>
  <si>
    <t>https://ieeexplore.ieee.org/stamp/stamp.jsp?tp=&amp;arnumber=1210432</t>
  </si>
  <si>
    <t>https://ieeexplore.ieee.org/stamp/stamp.jsp?tp=&amp;arnumber=1335784</t>
  </si>
  <si>
    <t>https://ieeexplore.ieee.org/stamp/stamp.jsp?tp=&amp;arnumber=1517098</t>
  </si>
  <si>
    <t>https://ieeexplore.ieee.org/stamp/stamp.jsp?tp=&amp;arnumber=4015216</t>
  </si>
  <si>
    <t>https://ieeexplore.ieee.org/stamp/stamp.jsp?tp=&amp;arnumber=4264202</t>
  </si>
  <si>
    <t>https://ieeexplore.ieee.org/stamp/stamp.jsp?tp=&amp;arnumber=4263854</t>
  </si>
  <si>
    <t>https://ieeexplore.ieee.org/stamp/stamp.jsp?tp=&amp;arnumber=4263853</t>
  </si>
  <si>
    <t>https://ieeexplore.ieee.org/stamp/stamp.jsp?tp=&amp;arnumber=4633160</t>
  </si>
  <si>
    <t>https://ieeexplore.ieee.org/stamp/stamp.jsp?tp=&amp;arnumber=5165898</t>
  </si>
  <si>
    <t>https://ieeexplore.ieee.org/stamp/stamp.jsp?tp=&amp;arnumber=5165850</t>
  </si>
  <si>
    <t>https://ieeexplore.ieee.org/stamp/stamp.jsp?tp=&amp;arnumber=6697514</t>
  </si>
  <si>
    <t>https://ieeexplore.ieee.org/stamp/stamp.jsp?tp=&amp;arnumber=6697744</t>
  </si>
  <si>
    <t>https://ieeexplore.ieee.org/stamp/stamp.jsp?tp=&amp;arnumber=6697456</t>
  </si>
  <si>
    <t>https://ieeexplore.ieee.org/stamp/stamp.jsp?tp=&amp;arnumber=6848638</t>
  </si>
  <si>
    <t>https://ieeexplore.ieee.org/stamp/stamp.jsp?tp=&amp;arnumber=6848358</t>
  </si>
  <si>
    <t>https://ieeexplore.ieee.org/stamp/stamp.jsp?tp=&amp;arnumber=6848484</t>
  </si>
  <si>
    <t>https://ieeexplore.ieee.org/stamp/stamp.jsp?tp=&amp;arnumber=7540304</t>
  </si>
  <si>
    <t>https://ieeexplore.ieee.org/stamp/stamp.jsp?tp=&amp;arnumber=8058962</t>
  </si>
  <si>
    <t>https://ieeexplore.ieee.org/stamp/stamp.jsp?tp=&amp;arnumber=8059050</t>
  </si>
  <si>
    <t>https://ieeexplore.ieee.org/stamp/stamp.jsp?tp=&amp;arnumber=8058919</t>
  </si>
  <si>
    <t>https://ieeexplore.ieee.org/stamp/stamp.jsp?tp=&amp;arnumber=8059046</t>
  </si>
  <si>
    <t>https://ieeexplore.ieee.org/stamp/stamp.jsp?tp=&amp;arnumber=1339294</t>
  </si>
  <si>
    <t>https://ieeexplore.ieee.org/stamp/stamp.jsp?tp=&amp;arnumber=1427728</t>
  </si>
  <si>
    <t>https://ieeexplore.ieee.org/stamp/stamp.jsp?tp=&amp;arnumber=1613888</t>
  </si>
  <si>
    <t>https://ieeexplore.ieee.org/stamp/stamp.jsp?tp=&amp;arnumber=1683811</t>
  </si>
  <si>
    <t>https://ieeexplore.ieee.org/stamp/stamp.jsp?tp=&amp;arnumber=1683812</t>
  </si>
  <si>
    <t>https://ieeexplore.ieee.org/stamp/stamp.jsp?tp=&amp;arnumber=4385753</t>
  </si>
  <si>
    <t>https://ieeexplore.ieee.org/stamp/stamp.jsp?tp=&amp;arnumber=4470112</t>
  </si>
  <si>
    <t>https://ieeexplore.ieee.org/stamp/stamp.jsp?tp=&amp;arnumber=5392991</t>
  </si>
  <si>
    <t>https://ieeexplore.ieee.org/stamp/stamp.jsp?tp=&amp;arnumber=5481964</t>
  </si>
  <si>
    <t>https://ieeexplore.ieee.org/stamp/stamp.jsp?tp=&amp;arnumber=6236235</t>
  </si>
  <si>
    <t>https://ieeexplore.ieee.org/stamp/stamp.jsp?tp=&amp;arnumber=6308732</t>
  </si>
  <si>
    <t>https://ieeexplore.ieee.org/stamp/stamp.jsp?tp=&amp;arnumber=6479710</t>
  </si>
  <si>
    <t>https://ieeexplore.ieee.org/stamp/stamp.jsp?tp=&amp;arnumber=6932500</t>
  </si>
  <si>
    <t>https://ieeexplore.ieee.org/stamp/stamp.jsp?tp=&amp;arnumber=6960114</t>
  </si>
  <si>
    <t>https://ieeexplore.ieee.org/stamp/stamp.jsp?tp=&amp;arnumber=7439813</t>
  </si>
  <si>
    <t>https://ieeexplore.ieee.org/stamp/stamp.jsp?tp=&amp;arnumber=7888992</t>
  </si>
  <si>
    <t>https://ieeexplore.ieee.org/stamp/stamp.jsp?tp=&amp;arnumber=7987008</t>
  </si>
  <si>
    <t>https://ieeexplore.ieee.org/stamp/stamp.jsp?tp=&amp;arnumber=8358758</t>
  </si>
  <si>
    <t>https://ieeexplore.ieee.org/stamp/stamp.jsp?tp=&amp;arnumber=8681076</t>
  </si>
  <si>
    <t>FOM</t>
  </si>
  <si>
    <t>Noise temp@300K [k]</t>
  </si>
  <si>
    <t>Noise temp [K]</t>
  </si>
  <si>
    <t>06/2003</t>
  </si>
  <si>
    <t>Cryogenic wide-band ultra-low-noise IF amplifiers operating at ultra-low DC</t>
  </si>
  <si>
    <t>N. Wadefalk, A. Mellberg, I. Angelov, et.al</t>
  </si>
  <si>
    <t>This paper describes cryogenic broad-band amplifiers with very low power consumption and very low noise for the 4–8-GHz frequency range. At room temperature, the two-stage InP-based amplifier has a gain of 27 dB and a noise temperature of 31 K with a power consumption of 14.4 mW per stage, including bias circuitry. When cooled to 15 K, an input noise temperature of 1.4 K is obtained at 5.7 mW per stage. At 0.51 mW per stage, the input noise increases to 2.4 K. The noise measurements have been repeated at different laboratories using different methods and are found consistent.</t>
  </si>
  <si>
    <t>A novel wide-band noise-parameter measurement method and its cryogenic application</t>
  </si>
  <si>
    <t>R. Hu, S. Weinreb</t>
  </si>
  <si>
    <t>The concept of using a long mismatched transmission line to measure noise parameters has been known for some time. However, it has been limited to narrow-bandwidth applications, and a wide-band extension has never been reported. In order to measure the cryogenic noise parameters of a wide-band low-noise amplifier (LNA), a wide-band frequency-variation method is proposed. In this method, the four noise parameters at each frequency are derived numerically from a set of matched and mismatched noise temperatures measured within a surrounding frequency-sampling window. By scanning this frequency-sampling window, noise parameters over a wide frequency range can be obtained. Since this approach can be easily incorporated into existing noise measurement systems, a tuner is not required, and the technique can be applied to a cryogenic amplifier. This paper details the theory, implementation, and verification of this new method. The measured noise parameters of a cryogenic wide-band LNA are presented</t>
  </si>
  <si>
    <t>06/2005</t>
  </si>
  <si>
    <t>Very low-noise differential radiometer at 30 GHz for the PLANCK LFI</t>
  </si>
  <si>
    <t>B. Aja, E. Artal, L. de la Fuente, et. Al</t>
  </si>
  <si>
    <t>The PLANCK mission of the European Space Agency is devoted to produce sky maps of the cosmic microwave background radiation. The low-frequency instrument is a wide-band cryogenic microwave radiometer array operating at 30, 44, and 70 GHz. The design, test techniques, and performance of the complete differential radiometer at 30 GHz are presented. This elegant breadboard 30-GHz radiometer is composed of a front-end module (FEM) assembled at the Jodrell Bank Observatory, Cheshire, U.K., and a back-end module assembled at the Universidad de Cantabria, Cantabria, Spain, and Telecomunicacio/spl acute/, Universitat Polite/spl acute/cnica de Catalunya, Barcelona, Spain. The system noise temperature was excellent, mainly due to the very low noise performance of the FEM amplifiers, which achieved an average noise temperature of 9.4 K.</t>
  </si>
  <si>
    <t>Design of Cryogenic SiGe Low-Noise Amplifiers</t>
  </si>
  <si>
    <t>Sander Weinreb, Joseph C. Bardin, Hamdi Mani</t>
  </si>
  <si>
    <t>This paper describes a method for designing cryogenic silicon-germanium (SiGe) transistor low-noise amplifiers and reports record microwave noise temperature, i.e., 2 K, measured at the module connector interface with a 50-Omega generator. A theory for the relevant noise sources in the transistor is derived from first principles to give the minimum possible noise temperature and optimum generator impedance in terms of dc measured current gain and transconductance. These measured dc quantities are then reported for an IBM SiGe BiCMOS-8HP transistor at temperatures from 295 to 15 K. The measured and modeled noise and gain for both a single-and two-transistor cascode amplifier in the 0.2-3-GHz range are then presented. The noise model is then combined with the transistor equivalent-circuit elements in a circuit simulator and the noise in the frequency range up to 20 GHz is compared with that of a typical InP HEMT.</t>
  </si>
  <si>
    <t>https://ieeexplore.ieee.org/stamp/stamp.jsp?tp=&amp;arnumber=4359086</t>
  </si>
  <si>
    <t>06/2012</t>
  </si>
  <si>
    <t>Low-Power Very Low-Noise Cryogenic SiGe IF Amplifiers for Terahertz Mixer Receivers</t>
  </si>
  <si>
    <t>Damon Russell, Sander Weinreb</t>
  </si>
  <si>
    <t>State-of-the-art radio astronomy terahertz receivers utilize clusters of super-conducting mixers with cryogenic IF amplifiers. The critical parameters of the IF amplifiers are noise temperature, bandwidth, power consumption, input return loss, and physical size. This paper presents test data on three approaches to the IF amplifier; two are silicon-germanium (SiGe) monolithic microwave integrated circuit designs and the third is a discrete SiGe transistor miniature module. The amplifiers provide noise temperatures in the range of 5-15 K, from 1 to 6 GHz, at power consumptions as low as 2 mW.</t>
  </si>
  <si>
    <t>https://ieeexplore.ieee.org/stamp/stamp.jsp?tp=&amp;arnumber=6180195</t>
  </si>
  <si>
    <t>4–12- and 25–34-GHz Cryogenic mHEMT MMIC Low-Noise Amplifiers</t>
  </si>
  <si>
    <t>Beatriz Aja Abelan, Matthias Seelmann-Eggebert, Daniel Bruch, et.al</t>
  </si>
  <si>
    <t>In this paper, monolithic microwave integrated circuit (MMIC) broadband low-noise amplifiers (LNAs) for cryogenic applications based on a 100-nm metamorphic high-electron mobility transistor (mHEMT) technology in combination with grounded coplanar waveguide are reported. A three-stage LNA, operating in 4-12 GHz and cooled to 15 K exhibits an associated gain of 31.5 dB ± 1.8 dB and average noise temperature of 5.3 K (NF=0.079 dB) with a low power dissipation of 8 mW. Additionally another three-stage LNA 25-34 GHz cooled to 15 K has demonstrated a flat gain of 24.2 dB ± 0.4 dB with 15.2 K (NF=0.22 dB), average noise temperature, with a very low power dissipation of 2.8 mW on chip. The mHEMT-based LNA MMICs have demonstrated excellent noise characteristics at cryogenic temperatures for their use in radio-astronomy applications.</t>
  </si>
  <si>
    <t>https://ieeexplore.ieee.org/stamp/stamp.jsp?tp=&amp;arnumber=6341865</t>
  </si>
  <si>
    <t>02/2013</t>
  </si>
  <si>
    <t>Cryogenic Broadband Ultra-Low-Noise MMIC LNAs for Radio Astronomy Applications</t>
  </si>
  <si>
    <r>
      <t>Joel Schleeh ,</t>
    </r>
    <r>
      <rPr>
        <sz val="11"/>
        <color theme="1"/>
        <rFont val="Calibri"/>
        <family val="2"/>
        <scheme val="minor"/>
      </rPr>
      <t> Niklas Wadefalk , Per-Åke Nilsson</t>
    </r>
    <r>
      <rPr>
        <sz val="11"/>
        <color theme="1"/>
        <rFont val="Calibri"/>
        <family val="2"/>
        <scheme val="minor"/>
      </rPr>
      <t>, et. Al</t>
    </r>
  </si>
  <si>
    <t>0.5-13- and 24-40-GHz broadband cryogenic monolithic-microwave integrated-circuit low-noise amplifiers (LNAs) have been designed and fabricated using a 130-nm InP HEMT process. Packaged LNAs have been measured at both 300 and 15 K. At 300 K, the measured minimum noise temperature of the 0.5-13-GHz LNA was 48 K at 7 GHz with a gain between 34-40 dB. At 15 K, the measured minimum noise temperature was 3 K at 7 GHz and below 7 K within the entire 0.5-13-GHz band with a gain between 38-44 dB. The 24-40-GHz LNA exhibited a lowest noise temperature of 110 K and an average of 125 K with a gain of more than 27.5 dB at 300 K. When cooled down to 15 K, the noise temperature dropped to a minimum of 10 K and average of 13.2 K with a gain of 28 dB. The results are of large interest for radio astronomy applications where large bandwidth and low noise figure in the receivers are key figures in the system design.</t>
  </si>
  <si>
    <t>https://ieeexplore.ieee.org/stamp/stamp.jsp?tp=&amp;arnumber=6403592</t>
  </si>
  <si>
    <t>Ultra-Low-Power Cryogenic SiGe Low-Noise Amplifiers: Theory and Demonstration</t>
  </si>
  <si>
    <t>Shirin Montazeri, Wei-Ting Wong, Ahmet H. Coskun, Joseph C. Bardin</t>
  </si>
  <si>
    <t>Low-power cryogenic low-noise amplifiers (LNAs) are desired to ease the cooling requirements of ultra-sensitive cryogenically cooled instrumentation. In this paper, the tradeoff between power and noise performance in silicon-germanium LNAs is explored to study the possibility of operating these devices from low supply voltages. A new small-signal heterojunction bipolar transistor noise model applicable to both the forward-active and saturation regimes is developed from first principles. Experimental measurements of a device across a wide range of temperatures are then presented and the dependence of the noise parameters on collector-emitter voltage is described. This paper concludes with the demonstration of a high-gain 1.8-3.6-GHz cryogenic LNA achieving a noise temperature of 3.4-5 K while consuming just 290 μW when operating at 15-K physical temperature.</t>
  </si>
  <si>
    <t>https://ieeexplore.ieee.org/stamp/stamp.jsp?tp=&amp;arnumber=7328771</t>
  </si>
  <si>
    <t>An MMIC Low-Noise Amplifier Design Technique</t>
  </si>
  <si>
    <t>Mikko Varonen, Rodrigo Reeves, Pekka Kangaslahti, et.al</t>
  </si>
  <si>
    <t>In this paper we discuss the design of low-noise amplifiers (LNAs) for both cryogenic and room-temperature operation in general and take the stability and linearity of the amplifiers into special consideration. Oscillations that can occur within a multi-finger transistor are studied and verified with simulations and measurements. To overcome the stability problem related to the multi-finger transistor design approach a parallel two-finger unit transistor monolithic microwave integrated circuit LNA design technique, which enables the design of wideband and high-linearity LNAs with very stable, predictable, and repeatable operation, is proposed. The feasibility of the proposed design technique is proved by demonstrating a three-stage LNA packaged in a WR10 waveguide housing and fabricated using a 35-nm InP HEMT technology that achieves more than a 20-dB gain from 75 to 116 GHz and 26-33-K noise temperature from 85 to 116 GHz when cryogenically cooled to 27 K.</t>
  </si>
  <si>
    <t>https://ieeexplore.ieee.org/stamp/stamp.jsp?tp=&amp;arnumber=7404041</t>
  </si>
  <si>
    <t>Stability Investigation of Large Gate-Width Metamorphic High Electron-Mobility Transistors at Cryogenic Temperature</t>
  </si>
  <si>
    <t>Giuseppe Moschetti, Fabian Thome, Matthias Ohlrogge, et.al</t>
  </si>
  <si>
    <t>An investigation of metamorphic high electron mobility transistor stability at cryogenic temperature is presented in this paper. Unlike in the case of two-finger transistors, the measurements of cooled four-finger devices with large gate widths exhibit unstable behavior in the form of steps in the current-voltage characteristics, discontinuities in the transconductance, and reduced gain. This unstable behavior has hampered the reliable realization of low-noise amplifiers for cryogenic applications. We study different gate-width devices with a multiport transistor model, allowing the separation of gate and drain feeder structures from the active part of the transistor. The simulation reveals the presence of resonances in the frequency region of several hundreds of gigahertz. We demonstrate that the resonances disappear when an air bridge is placed across the fingers of the drain feeder structure, and confirm the stabilizing effect of the air bridge both on device and circuit level by cryogenic measurements.</t>
  </si>
  <si>
    <t>https://ieeexplore.ieee.org/stamp/stamp.jsp?tp=&amp;arnumber=7547915&amp;tag=1</t>
  </si>
  <si>
    <t>Broadband MMIC LNAs for ALMA Band 2+3 With Noise Temperature Below 28 K</t>
  </si>
  <si>
    <r>
      <t xml:space="preserve">David Cuadrado-Calle, </t>
    </r>
    <r>
      <rPr>
        <sz val="11"/>
        <color theme="1"/>
        <rFont val="Calibri"/>
        <family val="2"/>
        <scheme val="minor"/>
      </rPr>
      <t>Danielle George, Gary A. Fuller, et.al</t>
    </r>
  </si>
  <si>
    <t>Recent advancements in transistor technology, such as the 35 nm InP HEMT, allow for the development of monolithic microwave integrated circuit (MMIC) low noise amplifiers (LNAs) with performance properties that challenge the hegemony of SIS mixers as leading radio astronomy detectors at frequencies as high as 116 GHz. In particular, for the Atacama Large Millimeter and Submillimeter Array (ALMA), this technical advancement allows the combination of two previously defined bands, 2 (67-90 GHz) and 3 (84-116 GHz), into a single ultra-broadband 2+3 (67-116 GHz) receiver. With this purpose, we present the design, implementation, and characterization of LNAs suitable for operation in this new ALMA band 2+3, and also a different set of LNAs for ALMA band 2. The best LNAs reported here show a noise temperature less than 250 K from 72 to 104 GHz at room temperature, and less than 28 K from 70 to 110 GHz at cryogenic ambient temperature of 20 K. To the best knowledge of the authors, this is the lowest wideband noise ever published in the 70-110 GHz frequency range, typically designated as W-band.</t>
  </si>
  <si>
    <t>https://ieeexplore.ieee.org/stamp/stamp.jsp?tp=&amp;arnumber=7836302</t>
  </si>
  <si>
    <t>*(This paper has four different versions of a LNA design)</t>
  </si>
  <si>
    <t>12/2017</t>
  </si>
  <si>
    <t>Two-Finger InP HEMT Design for Stable Cryogenic Operation of Ultra-Low-Noise Ka- and Q-Band LNAs</t>
  </si>
  <si>
    <t>Eunjung Cha, Giuseppe Moschetti, Niklas Wadefalk, et.al</t>
  </si>
  <si>
    <r>
      <t>We investigate the cryogenic stability of two-finger 100-nm gate-length InP HEMTs aimed for Ka- and Q-band ultra-low noise amplifiers (LNAs). InP HEMTs with unit gate widths ranging between 30 and 50 </t>
    </r>
    <r>
      <rPr>
        <sz val="14"/>
        <color rgb="FF333333"/>
        <rFont val="Calibri"/>
        <family val="2"/>
        <scheme val="minor"/>
      </rPr>
      <t>μm</t>
    </r>
    <r>
      <rPr>
        <sz val="11"/>
        <color rgb="FF333333"/>
        <rFont val="Calibri"/>
        <family val="2"/>
        <scheme val="minor"/>
      </rPr>
      <t>exhibit unstable cryogenic behavior with jumps in drain current and discontinuous peaks in transconductance. We also find that shorter gate length enhances the cryogenic instability. We demonstrate that the instability of two-finger transistors can be suppressed by either adding a source air bridge, connecting the back end of gates, or increasing the gate resistance. A three-stage 24-40 GHz and a four-stage 28-52-GHz monolithic microwave-integrated circuit LNA using the stabilized InP HEMTs are presented. The Ka-band amplifier achieves a minimum noise temperature of 7 K at 25.6 GHz with an average noise temperature of 10.6 K at an ambient temperature of 5.5 K. The amplifier gain is 29 dB ± 0.6 dB. The Q-band amplifier exhibits minimum noise temperature of 6.7 K at 32.8 GHz with average noise temperature of 10 K at ambient temperature of 5.5 K. The amplifier gain is 34 dB ± 0.8 dB. To our knowledge, the Ka- and Q-band amplifiers demonstrate the lowest noise temperature reported so far for InP cryogenic LNAs.</t>
    </r>
  </si>
  <si>
    <t>https://ieeexplore.ieee.org/stamp/stamp.jsp?tp=&amp;arnumber=8103905</t>
  </si>
  <si>
    <t>11/2018</t>
  </si>
  <si>
    <t>0.3–14 and 16–28 GHz Wide-Bandwidth Cryogenic MMIC Low-Noise Amplifiers</t>
  </si>
  <si>
    <t>Eunjung Cha, Niklas Wadefalk, Per-Åke Nilsson, et.al</t>
  </si>
  <si>
    <t>We present two monolithic microwave integrated circuit (MMIC) cryogenic broadband low-noise amplifiers (LNAs) based on the 100 nm gate length InP high-electron mobility transistor technology for the frequency range of 0.3-14 and 16-28 GHz. The 0.3-14 GHz three-stage LNA exhibited a gain of 41.6 ± 1.4 dB and an average noise temperature of 3.5 K with a minimum noise temperature of 2.2 K at 6 GHz when cooled down to 4 K. The 16-28 GHz three-stage LNA showed a gain of 32.3 ± 1.8 dB and an average noise temperature of 6.3 K with a minimum noise temperature of 4.8 K at 20.8 GHz at the ambient temperature of 4 K. This is the first demonstration of cryogenic MMIC LNA covering the whole K-band. To the best of the authors' knowledge, the cryogenic MMIC LNAs demonstrated the state-of-the-art noise performance in the 0.3-14 and 16-28 GHz frequency range.</t>
  </si>
  <si>
    <t>https://ieeexplore.ieee.org/stamp/stamp.jsp?tp=&amp;arnumber=8500350</t>
  </si>
  <si>
    <t>A Cool, Sub-0.2 dB Noise Figure GaN HEMT Power Amplifier With 2-Watt Output Power</t>
  </si>
  <si>
    <t>Kevin W. Kobayashi, YaoChung Chen, Ioulia Smorchkova, et.al</t>
  </si>
  <si>
    <t>01/2018</t>
  </si>
  <si>
    <t>Cryo-CMOS Circuits and Systems for Quantum Computing Applications</t>
  </si>
  <si>
    <t>Bishnu Patra, Rosario M. Incandela, Jeroen P. G. van Dijk, et.al</t>
  </si>
  <si>
    <t>A fault-tolerant quantum computer with millions of quantum bits (qubits) requires massive yet very precise control electronics for the manipulation and readout of individual qubits. CMOS operating at cryogenic temperatures down to 4 K (cryo-CMOS) allows for closer system integration, thus promising a scalable solution to enable future quantum computers. In this paper, a cryogenic control system is proposed, along with the required specifications, for the interface of the classical electronics with the quantum processor. To prove the advantages of such a system, the functionality of key circuit blocks is experimentally demonstrated. The characteristic properties of cryo-CMOS are exploited to design a noise-canceling low-noise amplifier for spin-qubit RF-reflectometry readout and a class-F2,3 digitally controlled oscillator required to manipulate the state of qubits.</t>
  </si>
  <si>
    <t>https://ieeexplore.ieee.org/stamp/stamp.jsp?tp=&amp;arnumber=8036394</t>
  </si>
  <si>
    <t>Temperature-dependent noise parameters and modeling of InP/InAlAs/InGaAs HEMTs</t>
  </si>
  <si>
    <t>M.R.Murti, S.Yoo, A.Raghavan, et.al</t>
  </si>
  <si>
    <t>In this paper, we present the small-signal and noise modeling of InP/ln/sub 0.8/Ga/sub 0.2/As HEMTs at cryogenic temperatures. The effect of various physical mechanisms influencing the small-signal parameters, especially the RF transconductance and RF output resistance and their temperature dependence are discussed in detail. Accurate on-wafer noise parameter measurements are carried out on InP HEMTs from 300 K to 18 K and the variation of the equivalent noise temperatures of drain and source (T/sub d/ and T/sub g/) are modeled against temperature. A cryogenic LNA in the Ka-band with a noise temperature of 10 K has been demonstrated.</t>
  </si>
  <si>
    <t>Low noise amplifier for 180 GHz frequency band</t>
  </si>
  <si>
    <t>Pekka Kangaslahti, David Pukala, Todd Gaier, et.al</t>
  </si>
  <si>
    <t>Measurement of the humidity profile of the atmosphere is highly important for atmospheric science and weather forecasting. This sounding measurement is obtained at frequencies close to the resonance frequency of water molecules (183 GHz). We have designed and characterized a MMIC low noise amplifier that will increase the sensitivity of sounding instruments at these frequencies. This study demonstrated a factor of two improvement in MMIC LNA noise temperature at this frequency band. The measured packaged InP monolithic millimeter-wave integrated circuit (MMIC) amplifier had a noise temperature of NT=390 K (NF=3.7 dB). The circuit was fabricated in 35 nm InP high electron mobility transistor (HEMT) process.</t>
  </si>
  <si>
    <t>A W-band low-noise amplifier with 22K noise temperature</t>
  </si>
  <si>
    <t>Eric W. Bryerton, Xiaobing Mei, Young-Min Kim, et.al</t>
  </si>
  <si>
    <t>A W-band MMIC low-noise amplifier (LNA) was designed and fabricated using NGST's 35 nm InP HEMT process. It was packaged in a WR-12 module and tested at 297K and 17.5K ambient temperatures. At room temperature, the WR-12 LNA module has 26-30 dB gain from 70 to 92 GHz and less than 300K noise temperature from 65-86 GHz. At 17.5K ambient temperature, the WR-12 LNA module has a minimum noise temperature of 22K at 85 GHz and less than 40K noise temperature from 70-96 GHz (below 30K noise temperature from 78-95 GHz). Gain at 17.5K is 27-31 dB from 70 to 94 GHz. Power dissipation cold is 2.1 mW. Analysis is also included to investigate the observed frequency shift with ambient temperature. It is believed that these are the lowest noise temperature measured for a packaged W-band amplifier at both room and cryogenic temperatures.</t>
  </si>
  <si>
    <t>Cryogenic 0.5–13 GHz low noise amplifier with 3 K mid-band noise temperature</t>
  </si>
  <si>
    <t>J. Schleeh, N. Wadefalk, P. A. Nilsson, et.al</t>
  </si>
  <si>
    <t>A 0.5–13 GHz cryogenic MMIC low-noise amplifier (LNA) was designed and fabricated using a 130 nm InP HEMT process. A packaged LNA has been measured at both 300 K and 15 K. At 300 K the measured minimum noise temperature was 48 K at 7 GHz. At 15 K the measured minimum noise temperature was 3 K at 7 GHz and below 7 K within the entire 0.5–13 GHz band. The gain was between 34 dB and 40 dB at 300 K and between 38 dB and 44 dB at 4 K.</t>
  </si>
  <si>
    <t>4–12 GHz and 25–34 GHz cryogenic MHEMT MMIC Low Noise Amplifiers for radio astronomy</t>
  </si>
  <si>
    <t>B. Aja, M. Seelmann-Eggebert, A. Leuther, et.al</t>
  </si>
  <si>
    <t>MMIC Broadband Low Noise Amplifiers (LNA) for radio astronomy applications with 100 nm GaAs metamorphic High Electron Mobility Transistor (mHEMT) process have been developed. Cryogenic performance of a 4–12 GHz and a 25–34 GHz LNAs is presented. The 4–12 GHz LNA cooled at 15 K exhibits an associated gain of 31.5 dB ± 1.8 dB and average noise temperature of 5.3 K with a low power dissipation of 8 mW. Cooled to 15 K the 25–34 GHz amplifier has demonstrated a flat gain of 24.2 dB ± 0.4 dB with 15.2 K average noise temperature, and a very low power dissipation of 2.8 mW on chip. The mHEMT based LNA MMICs have demonstrated excellent noise characteristics at cryogenic temperatures for their use in radio astronomy applications.</t>
  </si>
  <si>
    <t>Low noise amplifiers for 140 GHz wide-band cryogenic receivers</t>
  </si>
  <si>
    <t>Patricia V. Larkoski, Pekka Kangaslahti, Lorene Samoska, et.al</t>
  </si>
  <si>
    <t>We report S-parameter and noise measurements for three different InP 35 nm gate-length High Electron Mobility Transistor (HEMT) Low Noise Amplifier (LNA) designs operating in the frequency range centered on 140 GHz. When packaged in a WR-6.1 waveguide housing, the LNAs have an average measured noise figure of 3.0 dB-3.6 dB over the 122-170 GHz band. One LNA was cooled to 20 K and a record low noise temperature of 46 K, or 0.64 dB noise figure, was measured at 152 GHz. These amplifiers can be used to develop receivers for instruments that operate in the 130-170 GHz atmospheric window, which is an important frequency band for ground-based astronomy and millimeter-wave imaging applications.</t>
  </si>
  <si>
    <t>A 75–116-GHz LNA with 23-K noise temperature at 108 GHz</t>
  </si>
  <si>
    <t>In this paper we present the design and measurement results, both on-wafer and in package, of an ultra-low-noise and wideband monolithic microwave integrated circuit (MMIC) amplifier in the frequency range of 75 to 116 GHz. The three-stage amplifier packaged in a WR10 waveguide housing and fabricated using a 35-nm InP HEMT technology achieves a record noise temperature of 23 K at 108 GHz when cryogenically cooled to 27 K. The measured gain is 22 to 27 dB for frequency range of 75 to 116 GHz. Furthermore, the amplifier utilizes four-finger devices with a total gate width of 60 μm resulting in higher output power. Therefore, we consider that this amplifier achieves state-of-the-art performance in terms of bandwidth, noise temperature, gain, and linearity so far reported for cryogenically cooled amplifiers around W-band.</t>
  </si>
  <si>
    <t>Sub-20-K noise temperature LNA for 67–90 GHz frequency band</t>
  </si>
  <si>
    <t>Pekka Kangaslahti, Kieran Cleary, Jacob Kooi, et.al</t>
  </si>
  <si>
    <t>Indium Phosphide MMIC LNAs are enabling new capabilities in instrument development. The development of arrays of hundreds of cryogenically-cooled millimeter wave receivers has previously been challenging, but is now achievable with highly repeatable MMIC processes and advances in cryogenic on-wafer testing of LNAs. We have developed InP HEMT LNA MMICs for the 67-90 GHz frequency band that is the last missing receiver system from the ALMA. These MMICs provided average performance of less than 22.5 K noise temperature over the frequency band and minimum noise temperature of 17.5 K at 72 GHz. These LNAs achieve NT=220K (NF=2.4dB) at 90 GHz for Earth remote sensing instrument on Sentinel-6. Our HRMR (High Resolution Microwave Radiometer) achieves NEDT &lt;; 0.05K enabling Sentinel-6 to measure coastal ocean topography at 3 km resolution with better than 1 cm accuracy.</t>
  </si>
  <si>
    <t>A wideband cryogenic SiGe LNA MMIC with an average noise temperature of 2.8 K from 0.3–3 GHz</t>
  </si>
  <si>
    <t>Su-Wei Chang, Joseph C. Bardin</t>
  </si>
  <si>
    <t>The design and characterization of a 0.3-3 GHz SiGe cryogenic low noise amplifier is presented. The integrated-circuit amplifier was implemented in the ST BiCMOS9MW technology platform. At 16 K physical temperature, it achieves a gain greater than 22 dB, input and output return losses better than 10 dB, and an average noise temperature of 2.8 K over the 0.3-3 GHz frequency range. To the best of the authors' knowledge, this amplifier achieves the best noise performance reported to date for an integrated SiGe low noise amplifier.</t>
  </si>
  <si>
    <t>A sub-milliwatt 4–8 GHz SiGe cryogenic low noise amplifier</t>
  </si>
  <si>
    <t>Shirin Montazeri, Joseph C. Bardin</t>
  </si>
  <si>
    <t>A 4-8 GHz Silicon-Germanium (SiGe) cryogenic low-noise amplifier (LNA) was designed and implemented using the Global Foundries BiCMOS8HP process. The amplifier provides 30-dB and 26-dB of gain while dissipating 760 μW and 580 μW DC power, respectively. The noise temperature is approximately 8 K across the frequency band. To the best of the authors' knowledge, this is the lowest reported power to date for a wide-band cryogenic integrated circuit LNA in this frequency range.</t>
  </si>
  <si>
    <t>Two-finger InP HEMT design for stable cryogenic operation of ultra-low-noise Ka-band LNAs</t>
  </si>
  <si>
    <t>We have investigated the cryogenic stability of two-finger InP HEMTs aimed for Ka-band ultra-low noise amplifiers (LNAs). Unlike two-finger transistors with a large gate-width above 2 χ 50 μm, the transistors with a small gate-width exhibit unstable cryogenic behavior. The instability is suppressed by adding a source air-bridge. The stabilizing effect of the air-bridge is demonstrated both on device and circuit level. A three-stage 2440 GHz monolithic microwave integrated circuit (MMIC) LNA using a stabilized 100-nm HEMT technology is presented. The amplifier achieves a record noise temperature of 7 K at 25.6 GHz with an average noise of 10.6 K across the whole band at an ambient temperature of 5.5 K. The amplifier gain is 29 dB ± 0.6 dB exhibiting very stable and repeatable operation. To our knowledge, this amplifier presents the lowest noise temperature reported so far for InP cryogenic LNAs covering the Ka-band.</t>
  </si>
  <si>
    <t>Cryogenic LNAs for SKA band 2 to 5</t>
  </si>
  <si>
    <t>J. Schleeh, G. Moschetti, N. Wadefalk, et.al</t>
  </si>
  <si>
    <t>Four ultra-low noise cryogenic MMIC LNAs suitable for the Square Kilometer Array (SKA) band 2 to 5 (0.95-13.8 GHz) have been designed, fabricated, packaged and tested. The LNAs are based on 4×50, 8×50 and 16×50 μm HEMTs, designed for stable cryogenic operation, allowing the combination of good noise performance and return loss. The lowest noise temperatures measured in the four bands were 1.0 K, 1.2 K, 1.6 K and 2.6 K, respectively.</t>
  </si>
  <si>
    <t>*(This paper presents LNA's operating at 4 bands)</t>
  </si>
  <si>
    <t>Cryogenic W-band LNA for ALMA band 2+3 with average noise temperature of 24 K</t>
  </si>
  <si>
    <t>Yulung Tang, Niklas Wadefalk, Jacob W Kooi, et.al</t>
  </si>
  <si>
    <t>A cryogenic low noise amplifier that operates across the E and W-bands, from 65 GHz to 116 GHz, has been developed using 0.1-μm InP HEMT technology. Such wideband performance makes this work suitable for the ALMA telescope where two of its bands, 67-90 GHz of Band 2 and 85-116 GHz of Band 3, can be combined into one. At an ambient temperature of 5.5 K, this W-band LNA demonstrates an average noise temperature of 24.7 K with more than 21 dB gain and +/-3.0 dB gain flatness from 65 GHz to 116 GHz. To the best knowledge of the authors, this combination of bandwidth, gain flatness and noise temperature has not been demonstrated before.</t>
  </si>
  <si>
    <t>Design and characterization of a wideband high-dynamic range SiGe cryogenic low noise amplifier</t>
  </si>
  <si>
    <t>Wei-Ting Wong, Ahmet Hakan Coskun, Joseph C. Bardin</t>
  </si>
  <si>
    <t>The design and characterization of a cryogenic SiGe HBT low-noise amplifier optimized for high dynamic range is presented. The design leverages cryogenic SiGe HBT models capable of simultaneously describing weak nonlinearity, noise, and small-signal performance. The integrated circuit was realized in the Global Foundries 0.12 μm BiCMOS 8HP technology platform and operates from 1-20 GHz. When biased at a power consumption of 60 mW and operated at a physical temperature of 17 K, the amplifier provides an average gain and SFDR of 23 dB and 60 dB/GHz, respectively. To the best of the authors' knowledge, this is the highest SFDR achieved by a wideband integrated circuit LNA at cryogenic temperatures.</t>
  </si>
  <si>
    <t>Cryogenic Millimeter-Wave CMOS Low-Noise Amplifier</t>
  </si>
  <si>
    <t>Mikko Varonen, Kieran Cleary, Denizhan Karaca, Kari A. I. Halonen</t>
  </si>
  <si>
    <t>In this paper we report a cryogenically cooled CMOS amplifier covering at least 75 to 115 GHz frequency range. The amplifier chip was fabricated in 2S-nm FD SOI CMOS technology. When cryogenically cooled to 20 K and measured on-wafer the CMOS amplifier shows lOS-ISS K noise temperature from 75 to 115 GHz. This means 6 to 8 times improvement in noise temperature compared to room temperature noise. The measured small-signal gain is around 20 dB. To the best of authors' knowledge, these are the first cryogenic measurements of millimeter-wave CMOS amplifiers and lowest CMOS LNA noise temperatures for W-Band reported to date.</t>
  </si>
  <si>
    <t>70-116-GHz LNAs in 35-nm and 50-nm Gate-Length Metamorphic HEMT Technologies for Cryogenic and Room-Temperature Operation</t>
  </si>
  <si>
    <t>Fabian Thome, Arnulf Leuther, Juan Daniel Gallego, et.al</t>
  </si>
  <si>
    <t>In this paper, the room-temperature and cryogenic performance of two low-noise amplifier (LNA) modules in the frequency range from 70 to 116 GHz is presented and analyzed. The investigation is based on LNA millimeter-wave integrated circuits using 35-nm and 50-nm gate-length metamorphic high-electron-mobility transistor technologies. At room temperature, the WM-2540 waveguide modules demonstrate an average noise temperature of 214 and 247 K over the 70-116-GHz frequency range. The lowest achieved noise temperatures are 171 and 196 K. When cooling the LNA modules to an ambient temperature of 6 K, the average noise temperatures improve to 30.1 and 31 K. The lowest achieved noise temperatures are 20.7 and 19.2 K. To the best of the authors' knowledge, the demonstrated LNAs yield the lowest published average noise temperatures at room temperature over the 70-116-GHz frequency range. Furthermore, the achieved cryogenic noise performance is among the best results published so far.</t>
  </si>
  <si>
    <t>A 0.4–1.2 GHz SiGe Cryogenic LNA for Readout of MKID Arrays</t>
  </si>
  <si>
    <t>Mohsen Hosseini, Wei-Ting Wong, Joseph C. Bardin</t>
  </si>
  <si>
    <t>The design and characterization of a low noise amplifier optimized for the readout of microwave kinetic inductance detectors is described. The work is first motivated through a description of microwave kinetic inductance detectors and a discussion of the requirements for the low-noise amplifiers employed for readout of these devices. Next, the design of a two-stage silicon germanium cryogenic integrated circuit low noise amplifier is presented. The small-signal and large-signal characteristics of the fabricated amplifier are then measured. It is shown that, at a physical temperature of 16 K, the amplifier achieves a gain of greater than 30 dB and an average noise temperature of 3.3 K over the 0.4–1.2 GHz frequency band while dissipating less than 7 mW. Moreover, the wideband compression characteristics are measured it is found that the linearity of the amplifier is sufficient to support frequency domain multiplexed readout of more than 500 detectors.</t>
  </si>
  <si>
    <t>GaAs HEMT Low-Noise Cryogenic Amplifiers From C-Band to X-Band With 0.7-K/GHz Noise Temperature</t>
  </si>
  <si>
    <t>Christophe Risacher, Victor Belitsky</t>
  </si>
  <si>
    <t>Cryogenic low-noise two-stage amplifiers were developed for frequency bands of 3.4-4.6 GHz, 4-8 GHz, and 8-9 GHz using commercial GaAs high electron mobility transistor. The performances are in very good agreement with simulations, and at a cryogenic temperature of 12 K, input noise temperatures get as low as 0.6 K/GHz (2.8 K for the 3.4-4.6 GHz LNA and 5 K for the 4-8 GHz and 8-9 GHz LNAs). Gain ranges from 25 to 28 dB. Ultralow noise temperature, low-power consumption, high reliability, and reproducibility make these devices adequate for series production and receiver arrays in, e.g., telescopes.</t>
  </si>
  <si>
    <t>Analysis of the Input Noise Contribution in the Noise Temperature Measurements</t>
  </si>
  <si>
    <t>Robert Hu</t>
  </si>
  <si>
    <t>In measuring the noise temperature of a cryogenic microwave low-noise amplifier (LNA), the noise from the input thermal buffer, i.e., the coaxial cable that connects the noise source to the amplifier, needs to be correctly accounted for. With the amplifier's noise temperature approaching just a few Kelvins, the postulate used in calculating the cable's noise temperature, that the cable is homogeneous and has a linear temperature profile, commands a further inspection. This letter analyzes these assumptions and clarifies the situations in which they hold. To substantiate this Kelvin-level discretion, a LNA is designed and measured.</t>
  </si>
  <si>
    <t>SiGe HBT X-Band LNAs for Ultra-Low-Noise Cryogenic Receivers</t>
  </si>
  <si>
    <t>Tushar K. Thrivikraman, Jiahui Yuan, Joseph C. Bardin, et.al</t>
  </si>
  <si>
    <t>We report results on the cryogenic operation of two different monolithic X-band silicon-germanium (SiGe) heterojunction bipolar transistor low noise amplifiers (LNAs) implemented in a commercially-available 130 nm SiGe BiCMOS platform. These SiGe LNAs exhibit a dramatic reduction in noise temperature with cooling, yielding of less than 21 K (0.3 dB noise figure) across X-band at a 15 K operating temperature. To the authors' knowledge, these SiGe LNAs exhibit the lowest broadband noise of any Si-based LNA reported to date.</t>
  </si>
  <si>
    <t>06/2009</t>
  </si>
  <si>
    <t>A 0.1–5 GHz Cryogenic SiGe MMIC LNA</t>
  </si>
  <si>
    <t>Joseph C. Bardin, Sander Weinreb</t>
  </si>
  <si>
    <r>
      <t>In this letter, the design and measurement of the first SiGe integrated-circuit LNA specifically designed for operation at cryogenic temperatures is presented. At room temperature, the circuit provides greater than 25.8 dB of gain with an average noise temperature (T </t>
    </r>
    <r>
      <rPr>
        <sz val="8"/>
        <color rgb="FF333333"/>
        <rFont val="Calibri"/>
        <family val="2"/>
        <scheme val="minor"/>
      </rPr>
      <t>e</t>
    </r>
    <r>
      <rPr>
        <sz val="11"/>
        <color rgb="FF333333"/>
        <rFont val="Calibri"/>
        <family val="2"/>
        <scheme val="minor"/>
      </rPr>
      <t> ) of 76 K (NF = 1 dB) and S </t>
    </r>
    <r>
      <rPr>
        <sz val="8"/>
        <color rgb="FF333333"/>
        <rFont val="Calibri"/>
        <family val="2"/>
        <scheme val="minor"/>
      </rPr>
      <t>11</t>
    </r>
    <r>
      <rPr>
        <sz val="11"/>
        <color rgb="FF333333"/>
        <rFont val="Calibri"/>
        <family val="2"/>
        <scheme val="minor"/>
      </rPr>
      <t> of -9 dB for frequencies in the 0.1-5 GHz band. At 15 K, the amplifier has greater than 29.6 dB of gain with an average T </t>
    </r>
    <r>
      <rPr>
        <sz val="8"/>
        <color rgb="FF333333"/>
        <rFont val="Calibri"/>
        <family val="2"/>
        <scheme val="minor"/>
      </rPr>
      <t>e</t>
    </r>
    <r>
      <rPr>
        <sz val="11"/>
        <color rgb="FF333333"/>
        <rFont val="Calibri"/>
        <family val="2"/>
        <scheme val="minor"/>
      </rPr>
      <t> of 4.3 K and S </t>
    </r>
    <r>
      <rPr>
        <sz val="8"/>
        <color rgb="FF333333"/>
        <rFont val="Calibri"/>
        <family val="2"/>
        <scheme val="minor"/>
      </rPr>
      <t>11</t>
    </r>
    <r>
      <rPr>
        <sz val="11"/>
        <color rgb="FF333333"/>
        <rFont val="Calibri"/>
        <family val="2"/>
        <scheme val="minor"/>
      </rPr>
      <t> of -14.6 dB for frequencies in the 0.1-5 GHz range. To the authors' knowledge, this is the lowest noise ever reported for a silicon integrated circuit operating in the low microwave range and the first matched wideband cryogenic integrated circuit LNA that covers frequencies as low as 0.1 GHz.</t>
    </r>
  </si>
  <si>
    <t>MMIC-Based Components for MM-Wave Instrumentation</t>
  </si>
  <si>
    <t>Vessen Vassilev, N. Wadefalk, R. Kozhuharov, et.al</t>
  </si>
  <si>
    <t>In this letter, we present results of fully integrated 90-130 GHz receiver based on 100 nm mHEMT technology. The receiver contains a low noise amplifier (LNA), mixer and LO multiplier chain integrated into a single monolithic microwave integrated circuit (MMIC). The circuit is packaged into a waveguide block, characterized and compared to on-wafer measurements. Waveguide to microstrip transitions are used to interface the MMIC to the waveguide. A breakout LNA circuit is also packaged, and its performance is compared to the receiver. The LNA noise was characterized on a wafer and after packaging. The packaged module is measured at both room and cryogenic temperatures, NF of 3.7 dB is measured at 300 K and 0.9 dB at 20 K.</t>
  </si>
  <si>
    <t>Cryogenic Low-Noise mHEMT-Based MMIC Amplifiers for 4–12 GHz Band</t>
  </si>
  <si>
    <t>B. Aja, K. Schuster, F. Schäfer, et.al</t>
  </si>
  <si>
    <t>Two broadband very low-noise amplifiers operating in the frequency range from 4 to 12 GHz at cryogenic temperature are presented. The amplifier circuits have been developed using a 100 nm gate length InAlAs/InGaAs metamorphic high electron mobility transistor (mHEMT) technology. The three-stage amplifiers are monolithic microwave integrated circuit (MMIC) chips manufactured in coplanar technology. At cryogenic temperature the first MMIC amplifier achieved a linear gain of 22 dB and an average noise temperature of 11.6 K with a power dissipation of 41 mW. The second MMIC amplifier, with external input matching network, exhibited a gain of 26 dB, and an excellent average noise temperature of 8.1 K with a power dissipation of 12 mW. Both LNA units demonstrate broad bandwidth, high gain, low noise temperature, and compact chip size. The results obtained prove that mHEMT technology is suitable for applications in large instantaneous bandwidth cryogenic receivers for radio astronomy applications.</t>
  </si>
  <si>
    <t>Cryogenic InAs/AlSb HEMT Wideband Low-Noise IF Amplifier for Ultra-Low-Power Applications</t>
  </si>
  <si>
    <t>G. Moschetti, N. Wadefalk, P.-Å. Nilsson, et.al</t>
  </si>
  <si>
    <t>A cryogenic wideband 4-8 GHz hybrid low-noise amplifier, based on a 110 nm gate length InAs/AlSb HEMT process is presented. At room temperature the three-stage amplifier exhibited a transducer gain of 29 dB and a noise temperature of 150 K with 17.6 mW power consumption. When cooled to 13 K, the amplifier showed a minimum noise temperature of 19 K at a power consumption of 6 mW (66% reduction compared to room temperature). At cryogenic temperature, the optimum drain voltage for best noise performance was reduced from 0.55 V down to 0.3 V, demonstrating the very low-power and low-voltage capabilities of InAs/AlSb HEMT based low-noise amplifiers at cryogenic temperature.</t>
  </si>
  <si>
    <t>A WR4 Amplifier Module Chain With an 87 K Noise Temperature at 228 GHz</t>
  </si>
  <si>
    <t>Mikko Varonen, Lorene Samoska, Andy Fung, et.al</t>
  </si>
  <si>
    <t>In this letter we report an ultra-low-noise amplifier module chain in the WR4 frequency range. The amplifier chips were fabricated in a 35 nm InP HEMT technology and packaged in waveguide housings utilizing quartz E-plane waveguide probes. When cryogenically cooled to 22 K and measured through a mylar vacuum window, the amplifier module chain achieves a receiver noise temperature of 87 K at 228 GHz and less than a 100 K noise temperature from 217 to 236 GHz. The LNA modules have 21-31 dB gain and the power dissipation is 12.4-15.8 mW. To the best of authors' knowledge, these are the lowest LNA noise temperatures at these frequencies reported to date.</t>
  </si>
  <si>
    <t>Cryogenic Operation of a Millimeter-Wave SiGe BiCMOS Low-Noise Amplifier</t>
  </si>
  <si>
    <t>Wagner Ramírez, Henrik Forstén, Mikko Varonen, et.al</t>
  </si>
  <si>
    <t>In this letter, we report the design and characterization of a cryogenically cooled silicon germanium (SiGe) low-noise amplifier (LNA) covering a frequency range from 50 to 70 GHz. The amplifier was fabricated in 0.13-μm SiGe BiCMOS technology. At 20 K, the LNA showed stable operation and an average noise figure (NF) of 2.2 dB (191 K) in the 52-65-GHz frequency band. This means 4.4 times improvement compared to the noise temperature at room temperature conditions for the same frequency band. When biased to lowest noise operation at cryogenic conditions of 20 K, the measured small signal gain was 18.5 dB at 60 GHz, while the consumed power was 6.3 mW. According to the authors' knowledge, this is the first report on cryogenic millimeter-wave SiGe LNA and the lowest NF measured for a SiGe LNA in the 50-70-GHz frequency range.</t>
  </si>
  <si>
    <t>05/2005</t>
  </si>
  <si>
    <t>**(Two LNAs)</t>
  </si>
  <si>
    <t>Tcas</t>
  </si>
  <si>
    <t>Estmates</t>
  </si>
  <si>
    <t>Offset</t>
  </si>
  <si>
    <t>&lt;---</t>
  </si>
  <si>
    <t>Instructions</t>
  </si>
  <si>
    <t>Suggested FOM coefficients</t>
  </si>
  <si>
    <t>L(nm)</t>
  </si>
  <si>
    <t>Tcas (K)</t>
  </si>
  <si>
    <t>Mult.</t>
  </si>
  <si>
    <t>Pdc (mW)</t>
  </si>
  <si>
    <r>
      <t>R</t>
    </r>
    <r>
      <rPr>
        <vertAlign val="superscript"/>
        <sz val="11"/>
        <color rgb="FFFF0000"/>
        <rFont val="Calibri"/>
        <family val="2"/>
        <scheme val="minor"/>
      </rPr>
      <t>2</t>
    </r>
    <r>
      <rPr>
        <sz val="11"/>
        <color rgb="FFFF0000"/>
        <rFont val="Calibri"/>
        <family val="2"/>
        <scheme val="minor"/>
      </rPr>
      <t xml:space="preserve"> value=</t>
    </r>
  </si>
  <si>
    <t>Freq (GHz)</t>
  </si>
  <si>
    <t>All data present</t>
  </si>
  <si>
    <t>Center freq Estimate</t>
  </si>
  <si>
    <t>Maximize this using SOLVER</t>
  </si>
  <si>
    <t>CMOS sheet specifies FOM, which is caclulated based on coefficients found in "CMOS FOM calcuation" sheet</t>
  </si>
  <si>
    <t>Jan 28, 2020:</t>
  </si>
  <si>
    <t>Updated SiGe data</t>
  </si>
  <si>
    <t>8.1</t>
  </si>
  <si>
    <t>5.95</t>
  </si>
  <si>
    <t>Yutaka Mimino, Masafumi Hirata, Kannichi Nakamura, et.al</t>
  </si>
  <si>
    <t>Duy P. Nguyen, Binh L. Pham, Thanh Pham, Anh-Vu Pham</t>
  </si>
  <si>
    <t>**(This LNA has two different modes)</t>
  </si>
  <si>
    <t>**(These are switched LNA's)</t>
  </si>
  <si>
    <t>**(This LNA has two gain peaks that are included here)</t>
  </si>
  <si>
    <t>*(This paper presents two  LNA's)</t>
  </si>
  <si>
    <t>**(This LNA is biased @ low, med and high power)</t>
  </si>
  <si>
    <t>Kenjiro Nishikawa, Takatomo Enoki, Suehiro Sugitani, Ichihiko Toyoda</t>
  </si>
  <si>
    <t xml:space="preserve"> 08/2015</t>
  </si>
  <si>
    <t>Feb 15, 2020:</t>
  </si>
  <si>
    <t>Updated GaN, Gas, InP, CryoLNA data</t>
  </si>
  <si>
    <t>Feb 28, 2020:</t>
  </si>
  <si>
    <t>Updated 0.13um CMOS with some missing bandwidths</t>
  </si>
  <si>
    <t>Sept 30,2020</t>
  </si>
  <si>
    <t>Efficient Linear Millimeter-Wave Distributed Transceivers in CMOS SOI</t>
  </si>
  <si>
    <t xml:space="preserve">Kelvin Fang ; James F. Buckwalter </t>
  </si>
  <si>
    <r>
      <t>Two K</t>
    </r>
    <r>
      <rPr>
        <sz val="9"/>
        <color theme="1"/>
        <rFont val="Times New Roman"/>
        <family val="1"/>
      </rPr>
      <t>u</t>
    </r>
    <r>
      <rPr>
        <sz val="11"/>
        <color theme="1"/>
        <rFont val="Times New Roman"/>
        <family val="1"/>
      </rPr>
      <t>- to V-band distributed amplifiers (DAs)based on nMOS and nMOS/pMOS gain stages and a distributedtransceiver front end (DTFE) are presented for ultra-widebandpower and low-noise amplification in a 45-nm RF CMOS silicon-on-insulator (SOI) technology. Supply scaling of gain stagesthrough high-pass filter sections achieves high efficiency whilemaintaining a broadband 50-</t>
    </r>
    <r>
      <rPr>
        <sz val="11"/>
        <color theme="1"/>
        <rFont val="Arial"/>
        <family val="2"/>
      </rPr>
      <t>_x0002_</t>
    </r>
    <r>
      <rPr>
        <sz val="11"/>
        <color theme="1"/>
        <rFont val="Times New Roman"/>
        <family val="1"/>
      </rPr>
      <t>match. The nMOS DA has a gainof 13 dB over a 3-dB bandwidth of 10–82 GHz and a minimumnoise figure (NF) of 5.3 dB. The measured peak output power is17.2 dBm with a peak power-added efficiency (PAE) of 17.4%at 50 GHz. The hybrid DA allows higher operating voltage anddistortion cancelation of scaled pMOS devices to an achieve out-put power of 17.5 dBm with PAE of 20.2% and low third-orderintermodulation and amplitude–phase nonlinearities. The DTFEutilizes time-domain duplexing to drive a shared antenna portfor transmit (TX) and receive (RX) modes. It achieves TX gainof 11.7 dB from 12–76 GHz with peak output power of 17 dBmand PAE of 14.2%. RX gain is 9 dB from 11–77 GHz witha minimum NF of 6.2 dB. The 5-GHz wideband 16-QAM isdemonstrated in the amplifier circuits for data rates exceeding20 Gb/s.</t>
    </r>
  </si>
  <si>
    <t>https://ieeexplore.ieee.org/document/8516383</t>
  </si>
  <si>
    <t xml:space="preserve">Amirreza Alizadeh ; Masoud Meghdadi ; Majid Yaghoobi ; Ali Medi </t>
  </si>
  <si>
    <t>Design of a 2–12-GHz Bidirectional Distributed Amplifier in a 0.18- μ m CMOS Technology</t>
  </si>
  <si>
    <r>
      <t xml:space="preserve">This paper presents the design and implementation of a bidirectional distributed amplifier (BDDA) in a 0.18-μm CMOS process. The performance of the BDDA is theoretically analyzed, and the optimum number of gain stages (nopt), maximum achievable power gain (GP), and circuit bandwidth are formulated. In addition, a new formula for proper choice of the number of DA stages (i.e., n) is offered where dc-power consumption of the circuit (Pdc) is also considered. This formula optimizes GP/Pdc, and it is preferred over the conventional nopt formula. To validate the theoretical analyses, a 2-12-GHz BDDA with high output 1-dB compression point of +16 dBm and small-signal gain of 10 dB is fabricated. The BDDA chip occupies 1.89-mm </t>
    </r>
    <r>
      <rPr>
        <vertAlign val="superscript"/>
        <sz val="11"/>
        <color theme="1"/>
        <rFont val="Calibri"/>
        <family val="2"/>
        <scheme val="minor"/>
      </rPr>
      <t>2</t>
    </r>
    <r>
      <rPr>
        <sz val="11"/>
        <color theme="1"/>
        <rFont val="Calibri"/>
        <family val="2"/>
        <scheme val="minor"/>
      </rPr>
      <t xml:space="preserve"> die area, and its average measured noise figure and Pdc are 6.8 dB and 0.38 W in the high-power mode and 6.5 dB and 0.13 W in the low-power mode, respectively.</t>
    </r>
  </si>
  <si>
    <t>https://ieeexplore.ieee.org/document/8574995</t>
  </si>
  <si>
    <t>A Compact Digitally-Assisted Merged LNA Vector Modulator Using Coupled Resonators for Integrated Beamforming Transceivers</t>
  </si>
  <si>
    <t xml:space="preserve">Rahul Singh ; Susnata Mondal ; Jeyanandh Paramesh </t>
  </si>
  <si>
    <r>
      <t xml:space="preserve">This paper presents a compact differential quadrature generation scheme using transformer coupled resonators for use in scalable fifth-generation (5G) phased-array architectures. A merged low-noise amplifier vector modulator (LNA-VM) architecture is introduced where quadrature generation, conventionally implemented using an explicit quadrature hybrid, is now seamlessly integrated with the load of an LNA gain stage facilitating a compact design. The outputs of a lowQ coupled-resonator load in the LNA is used for quadrature generation, and Cartesian combining is implemented by phase-invariant programmable gain amplifiers (PGAs) with constant input capacitance and output conductance across phase settings-this ensures low rms gain and phase errors. A 25.1-27.6-GHz phased array channel employing the proposed scheme is implemented in 65-nm CMOS. The merged LNA-VM is digitally tunable across 2.5 GHz (25.1-27.6 GHz) and achieves rms gain and phase errors (measured at band edges) better than 0.42 dB (0.64 dB) and 4.5° (6.9°), respectively, for a bandwidth of 500 MHz (700 MHz). It occupies a composite area of only 0.123 mm </t>
    </r>
    <r>
      <rPr>
        <vertAlign val="superscript"/>
        <sz val="11"/>
        <color theme="1"/>
        <rFont val="Calibri"/>
        <family val="2"/>
        <scheme val="minor"/>
      </rPr>
      <t>2</t>
    </r>
    <r>
      <rPr>
        <sz val="11"/>
        <color theme="1"/>
        <rFont val="Calibri"/>
        <family val="2"/>
        <scheme val="minor"/>
      </rPr>
      <t xml:space="preserve"> while consuming 30.5 mW from a 1-V supply. To achieve quadrature locking at the desired frequency within the LNA-VM's tuning range, an on-chip mixer-based quadrature error detection and calibration scheme is presented. The proposed scheme is demonstrated to be robust in the face of gain and layout-induced mismatches which can be significant at millimeter-wave (mm-wave) frequencies</t>
    </r>
  </si>
  <si>
    <t>https://ieeexplore.ieee.org/document/8725934</t>
  </si>
  <si>
    <t>A V -Band Low-Power Digital Variable-Gain Low-Noise Amplifier Using Current-Reused Technique With Stable Matching and Maintained OP1dB</t>
  </si>
  <si>
    <t xml:space="preserve">Yu-Teng Chang ; Hsin-Chia Lu </t>
  </si>
  <si>
    <r>
      <t xml:space="preserve">This article presents a low-power CMOS digitally controlled variable gain low-noise amplifier (VGLNA) at </t>
    </r>
    <r>
      <rPr>
        <i/>
        <sz val="13.2"/>
        <color theme="1"/>
        <rFont val="MathJax_Math"/>
      </rPr>
      <t>V</t>
    </r>
    <r>
      <rPr>
        <sz val="11"/>
        <color theme="1"/>
        <rFont val="Calibri"/>
        <family val="2"/>
        <scheme val="minor"/>
      </rPr>
      <t xml:space="preserve"> -band in a 40-nm LP CMOS process. There are three amplifier stages and three digital gain control bits in this VGLNA. The first stage is a common source amplifier, and the second and third stages are current-reused amplifiers. In order to save dc power and control gain, we use the current-reused technique and add the digital switch between upper and lower transistors. Due to constant dc current, the input impedance of the current-reused stage is stable. Output impedance is stabilized by an ac grounding capacitor at the source terminal of the upper transistor under gain switching. Thus, our proposed VGA can minimize the interstage influence with the previous and following stage and maintain OP1dB due to the constant bias current. By adding a resonated inductor to cancel out the parasitic capacitance of switch transistor, we can keep bandwidth and improve noise figure (N.F.) at the current-reused stages under different gain states. The measured peak gain is 19.8 dB at 59.6 GHz, and lowest N.F. is 5.98 at 63.5 GHz. The gain states are 19.8/15.3/11.5/6.5 dB, respectively, and the measured input/output return loss is stable under different gain states. The IP1dB is increased from -29.5 to -17 dBm, and the OP1dB is nearly constant under different gain states. Total dc power consumption is only 18 mW for 1.1-V supplied voltage. This is the first digital current-reused VGLNA that has good FoM among digital VGLNA, the lowest dc power consumption, and compact die area at V-band.</t>
    </r>
  </si>
  <si>
    <t>https://ieeexplore.ieee.org/document/8848456</t>
  </si>
  <si>
    <t>Performance Analysis of a Low-Noise, Highly Linear Distributed Amplifier in 500-nm InP/InGaAs DHBT Technology</t>
  </si>
  <si>
    <t xml:space="preserve"> Tanjil Shivan ; Maruf Hossain ; Ralf Doerner ; Tom K. Johansen ; Hady Yacoub ; Sebastian Boppel ; Wolfgang Heinrich ; Victor Krozer</t>
  </si>
  <si>
    <r>
      <t xml:space="preserve">This article is an extension of the previous report on an ultrawideband distributed amplifier (DA) in the InP double heterojunction bipolar transistor (DHBT) technology. With the choice of a tricode unit cell, the Miller capacitance is reduced and a larger bandwidth (BW) is obtained. Measured S-parameters show a 3-dB BW of near dc to 170 GHz with a gain of 12 dB. In addition, the circuit operates in low dc bias conditions, thus yielding a low measured noise figure (NF) of 8 dB over the frequency range of 5-50 GHz and 12 dB at 135 GHz. Within the 5-50-GHz frequency range, the NF is only 0.5 dB higher than the NF of a similar DA with cascode unit cell. When the circuit is measured for large-signal condition, it reaches a 1-dB output compression point, P1 dB, of 8.4 dBm at 150 GHz, a saturated output power of approximately 10 dBm, and an associated maximum power-added efficiency (PAE) of 6%. This is the best linearity as well as the highest saturated output power and PAE reported at this frequency for DAs. When measured at 20 GHz, the circuit shows a P </t>
    </r>
    <r>
      <rPr>
        <vertAlign val="subscript"/>
        <sz val="11"/>
        <color theme="1"/>
        <rFont val="Calibri"/>
        <family val="2"/>
        <scheme val="minor"/>
      </rPr>
      <t>1</t>
    </r>
    <r>
      <rPr>
        <sz val="11"/>
        <color theme="1"/>
        <rFont val="Calibri"/>
        <family val="2"/>
        <scheme val="minor"/>
      </rPr>
      <t xml:space="preserve"> </t>
    </r>
    <r>
      <rPr>
        <vertAlign val="subscript"/>
        <sz val="11"/>
        <color theme="1"/>
        <rFont val="Calibri"/>
        <family val="2"/>
        <scheme val="minor"/>
      </rPr>
      <t>dB</t>
    </r>
    <r>
      <rPr>
        <sz val="11"/>
        <color theme="1"/>
        <rFont val="Calibri"/>
        <family val="2"/>
        <scheme val="minor"/>
      </rPr>
      <t xml:space="preserve"> , of 9 dBm and output referred third-order intercept point of 22 dBm, a saturated output power of 11 dBm, and an associated maximum PAE of 6%, thereby proving its uniform large-signal character within the full band. In short, this circuit brings in the unique combination of low NF, highly linear characteristics, and high PAE simultaneously together over large BW. Furthermore, the circuit consumes 180 mW of dc power only.</t>
    </r>
  </si>
  <si>
    <t>https://ieeexplore.ieee.org/stamp/stamp.jsp?tp=&amp;arnumber=8891921</t>
  </si>
  <si>
    <t>Two-Stage Compact Wideband Flat Gain Low-Noise Amplifier Using High-Frequency Feedforward Active Inductor</t>
  </si>
  <si>
    <t xml:space="preserve">Junyoung Jang ; Hansol Kim ; Geunhaeng Lee ; Tae Wook Kim </t>
  </si>
  <si>
    <r>
      <t xml:space="preserve">In this article, a wideband differential low-noise amplifier (LNA) for multiband wireless communication applications is proposed. First, shunt peaking is implemented with a self-biased active inductor (AI) to realize wideband characteristics in a compact size. Second, a cross-coupled capacitor is added to the AI, thus constructing a feedforward path. It adds a signal to the output node so that the bandwidth (BW) can be further increased by compensating the gain reduction according to the frequency. Additionally, the feedforward path creates another feedback loop, generating a negative capacitance. The negative capacitance can cancel parasitic capacitance to increase BW with a cascade amplifier. The prototype LNA is fabricated with a 65-nm CMOS process. It has a gain of 26.7 dB and a BW of 4.1 GHz. The noise figure (NF) is 3 dB and the third-order input intercept point (IIP3) is -14.2 dBm at 2 GHz. It consumes 13.9 mA at a 1-V supply and has an area of 0.009 mm </t>
    </r>
    <r>
      <rPr>
        <vertAlign val="superscript"/>
        <sz val="11"/>
        <color theme="1"/>
        <rFont val="Calibri"/>
        <family val="2"/>
        <scheme val="minor"/>
      </rPr>
      <t>2</t>
    </r>
    <r>
      <rPr>
        <sz val="11"/>
        <color theme="1"/>
        <rFont val="Calibri"/>
        <family val="2"/>
        <scheme val="minor"/>
      </rPr>
      <t xml:space="preserve"> .</t>
    </r>
  </si>
  <si>
    <t>https://ieeexplore.ieee.org/stamp/stamp.jsp?tp=&amp;arnumber=8891917</t>
  </si>
  <si>
    <t>A 28.16-Gb/s Area-Efficient 60-GHz CMOS Bidirectional Transceiver for IEEE 802.11ay</t>
  </si>
  <si>
    <t>Jian Pang ; Korkut Kaan Tokgoz ; Shotaro Maki ; Zheng Li ; Xueting Luo ; Ibrahim Abdo ; Seitaro Kawai ; Hanli Liu; Zheng Sun, Bangan Liu, Makihiko Katsuragi, Kento Kimura, Atsushi Shirane, Kenichi Okada</t>
  </si>
  <si>
    <r>
      <t xml:space="preserve">This article presents a 60-GHz CMOS transceiver designed for IEEE 802.11ay. To reduce the manufacturing cost, an area-efficient bidirectional technique is utilized in this work. The proposed bidirectional amplifier allows the sharing of interstage passive components. A five-stage power-amplifier (PA)-low-noise-amplifier (PA-LNA) designed based on the proposed bidirectional amplifier occupies less than half on-chip area, while staying a similar performance with the conventional standalone PA-LNA. Considering the multiple-in-multiple-out (MIMO) configuration, this work integrates two transceiver elements in the same chip. Thanks to the area-efficient bidirectional circuits, the transceiver in this work only requires 0.96-mm </t>
    </r>
    <r>
      <rPr>
        <vertAlign val="superscript"/>
        <sz val="11"/>
        <color theme="1"/>
        <rFont val="Calibri"/>
        <family val="2"/>
        <scheme val="minor"/>
      </rPr>
      <t>2</t>
    </r>
    <r>
      <rPr>
        <sz val="11"/>
        <color theme="1"/>
        <rFont val="Calibri"/>
        <family val="2"/>
        <scheme val="minor"/>
      </rPr>
      <t xml:space="preserve"> core area including the quadrature upconversion and downconversion. The occupied core area for a five-stage PA-LNA is 0.44 mm </t>
    </r>
    <r>
      <rPr>
        <vertAlign val="superscript"/>
        <sz val="11"/>
        <color theme="1"/>
        <rFont val="Calibri"/>
        <family val="2"/>
        <scheme val="minor"/>
      </rPr>
      <t>2</t>
    </r>
    <r>
      <rPr>
        <sz val="11"/>
        <color theme="1"/>
        <rFont val="Calibri"/>
        <family val="2"/>
        <scheme val="minor"/>
      </rPr>
      <t xml:space="preserve"> . The measured noise figure for the proposed transceiver in RX mode is 5.4 dB at 60 GHz. The measured TX-mode error vector magnitude (EVM) is -26 dB in 64 quadrature amplitude modulation (QAM) with an output power of -4.2 dBm. This work realizes a maximum data rate of 28.16 Gb/s in 16-QAM. A 64-QAM two-channel-bonding data rate of 21.12 Gb/s is also achieved by the transceiver with a -22.5-dB TX-to-RX EVM. The power consumptions are 94 mW in TX mode and 105 mW in RX mode.</t>
    </r>
  </si>
  <si>
    <t>https://ieeexplore.ieee.org/stamp/stamp.jsp?tp=&amp;arnumber=8836613</t>
  </si>
  <si>
    <t>Design of E- and W-Band Low-Noise Amplifiers in 22-nm CMOS FD-SOI</t>
  </si>
  <si>
    <t xml:space="preserve">Li Gao ; Eric Wagner ; Gabriel M. Rebeiz </t>
  </si>
  <si>
    <t>This article presents E- and W-band low-noise amplifiers (LNA) in GlobalFoundries 22-nm CMOS fully depleted silicon-on-insulator (FD-SOI). Both amplifiers employ a three-stage cascode design with gain-boosting transformer loads. Design procedures are presented for E- and W-band LNAs for narrowband and wideband applications. The E-band LNA focuses on a high-gain, low-power implementation, and results in a gain and noise figure (NF) of 20 and 4.6 dB at 77 GHz with a 3-dB bandwidth of 12 GHz, and an input P1dB of -27.4 dBm, for a power consumption of 9 mW. The W-band LNA focuses on wideband applications and results in a peak gain of 18.2 dB with a 3-dB bandwidth of 31 GHz, for a power consumption of 16 mW. The LNAs have a high figure-of-merit (FoM) and show very low-power operation in the 70-100 GHz range. Application areas are in phased arrays for 5G with hundreds or thousands of elements, automotive radars at 77 GHz, and sensors at 94 GHz.</t>
  </si>
  <si>
    <t>https://ieeexplore.ieee.org/document/8874999</t>
  </si>
  <si>
    <t>A 0.096-mm 2 1 –20-GHz Triple-Path Noise- Canceling Common-Gate Common-Source LNA With Dual Complementary pMOS–nMOS Configuration</t>
  </si>
  <si>
    <t xml:space="preserve">Haohong Yu ; Yong Chen ; Chirn Chye Boon ; Pui-In Mak ; Rui P. Martins </t>
  </si>
  <si>
    <r>
      <t xml:space="preserve">This article proposes a novel wideband commongate (CG) common-source (CS) low-noise amplifier (LNA) with a dual complementary pMOS-nMOS configuration to provide a current-reuse output. Triple-path noise-cancellation is effectively revealed to eliminate the thermal noise of the two CG transistors. Simultaneously, partial cancellation of intrinsic third-order distortion of output-stage transistors improves the input third-order intercept point (IIP3). In addition, we embed a resistive feedback in one of the auxiliary CS amplifiers to balance the multiple tradeoffs between noise figure (NF), input matching (S </t>
    </r>
    <r>
      <rPr>
        <vertAlign val="subscript"/>
        <sz val="11"/>
        <color theme="1"/>
        <rFont val="Calibri"/>
        <family val="2"/>
        <scheme val="minor"/>
      </rPr>
      <t>11</t>
    </r>
    <r>
      <rPr>
        <sz val="11"/>
        <color theme="1"/>
        <rFont val="Calibri"/>
        <family val="2"/>
        <scheme val="minor"/>
      </rPr>
      <t xml:space="preserve"> ), and forward gain (S </t>
    </r>
    <r>
      <rPr>
        <vertAlign val="subscript"/>
        <sz val="11"/>
        <color theme="1"/>
        <rFont val="Calibri"/>
        <family val="2"/>
        <scheme val="minor"/>
      </rPr>
      <t>21</t>
    </r>
    <r>
      <rPr>
        <sz val="11"/>
        <color theme="1"/>
        <rFont val="Calibri"/>
        <family val="2"/>
        <scheme val="minor"/>
      </rPr>
      <t xml:space="preserve"> ). Fabricated in 65-nm CMOS, the proposed wideband LNA exhibits an IIP3 of 2.2-6.8 dBm and an NF of 3.3-5.3 dB across a 19-GHz BW while consuming 20.3 mW at 1.6 V. S </t>
    </r>
    <r>
      <rPr>
        <vertAlign val="subscript"/>
        <sz val="11"/>
        <color theme="1"/>
        <rFont val="Calibri"/>
        <family val="2"/>
        <scheme val="minor"/>
      </rPr>
      <t>11</t>
    </r>
    <r>
      <rPr>
        <sz val="11"/>
        <color theme="1"/>
        <rFont val="Calibri"/>
        <family val="2"/>
        <scheme val="minor"/>
      </rPr>
      <t xml:space="preserve"> is c-10 dB up to 23 GHz by designing a π-type inputmatching network. The LNA exhibits a peak S </t>
    </r>
    <r>
      <rPr>
        <vertAlign val="subscript"/>
        <sz val="11"/>
        <color theme="1"/>
        <rFont val="Calibri"/>
        <family val="2"/>
        <scheme val="minor"/>
      </rPr>
      <t>21</t>
    </r>
    <r>
      <rPr>
        <sz val="11"/>
        <color theme="1"/>
        <rFont val="Calibri"/>
        <family val="2"/>
        <scheme val="minor"/>
      </rPr>
      <t xml:space="preserve"> of 12.8 dB and occupies a very compact die area of 0.096 mm </t>
    </r>
    <r>
      <rPr>
        <vertAlign val="superscript"/>
        <sz val="11"/>
        <color theme="1"/>
        <rFont val="Calibri"/>
        <family val="2"/>
        <scheme val="minor"/>
      </rPr>
      <t>2</t>
    </r>
    <r>
      <rPr>
        <sz val="11"/>
        <color theme="1"/>
        <rFont val="Calibri"/>
        <family val="2"/>
        <scheme val="minor"/>
      </rPr>
      <t xml:space="preserve"> .</t>
    </r>
  </si>
  <si>
    <t>https://ieeexplore.ieee.org/document/8922885</t>
  </si>
  <si>
    <t>A 20–44-GHz Image-Rejection Receiver With &gt;75-dB Image-Rejection Ratio in 22-nm CMOS FD-SOI for 5G Applications</t>
  </si>
  <si>
    <t xml:space="preserve">Li Gao ; Qian Ma ; Gabriel M. Rebeiz </t>
  </si>
  <si>
    <t>This article presents a 20-44-GHz image-rejection receiver in GlobalFoundries 22-nm fully-depleted silicon-in-insulator (FD-SOI). The receiver includes a wideband LNA with a three-pole high-pass rejection filter coupled to a double-balanced mixer with a wideband LO driver and an intermediate frequency (IF) amplifier. At an IF of 16 GHz, the image band at dc -12 GHz is filtered by the LNA response and is greater than 75 dB over the entire 20-44-GHz range. The receiver results in a gain of 24-28.5 dB and a noise figure (NF) of 3.3-5 dB at 20-44 GHz and achieves an error vector magnitude (EVM) of 3.6%-3.7% at the carrier frequency of 28 and 39 GHz with 2-Gbaud symbol rate at 64-QAM waveform. To the best of the authors' knowledge, this is the first wideband image-rejection receiver that covers the entire millimeter-wave 5G band based on GF 22-nm CMOS FD-SOI.</t>
  </si>
  <si>
    <t>https://ieeexplore.ieee.org/document/9044617</t>
  </si>
  <si>
    <t>A 2.65-pJ/Bit 12.5-Gb/s 60-GHz OOK CMOS Transmitter and Receiver for Proximity Communications</t>
  </si>
  <si>
    <t xml:space="preserve">Chul Woo Byeon ; Ki Chan Eun ; Chul Soon Park </t>
  </si>
  <si>
    <r>
      <t xml:space="preserve">This article presents a high data rate, high-efficiency 60-GHz on-off keying (OOK) CMOS transmitter and receiver. The transmitter consists of a voltage-controlled oscillator (VCO) and a modulator. The receiver consists of a low-noise amplifier, detector, and limiting amplifier (LA) and has a compact design. An analysis of the on-off isolation of the modulator and bandwidth of the LA reveals that the proposed transformer (TF) between the modulator and the VCO can improve the on-off isolation, and the feedforward capacitor can enhance the bandwidth. Implemented in the 65-nm CMOS technology, the transmitter and the receiver consume dc powers of 12.1 and 21 mW, respectively, at 12.5 Gb/s. Moreover, they occupy core chip areas of 0.09 and 0.06 mm </t>
    </r>
    <r>
      <rPr>
        <vertAlign val="superscript"/>
        <sz val="11"/>
        <color theme="1"/>
        <rFont val="Calibri"/>
        <family val="2"/>
        <scheme val="minor"/>
      </rPr>
      <t>2</t>
    </r>
    <r>
      <rPr>
        <sz val="11"/>
        <color theme="1"/>
        <rFont val="Calibri"/>
        <family val="2"/>
        <scheme val="minor"/>
      </rPr>
      <t xml:space="preserve"> , respectively. The transceiver system is constructed with on-board Yagi-Uda antennas, and it achieves 12.5 Gb/s wireless OOK data transmission for a pseudorandom binary sequence of length 2 </t>
    </r>
    <r>
      <rPr>
        <vertAlign val="superscript"/>
        <sz val="11"/>
        <color theme="1"/>
        <rFont val="Calibri"/>
        <family val="2"/>
        <scheme val="minor"/>
      </rPr>
      <t>7</t>
    </r>
    <r>
      <rPr>
        <sz val="11"/>
        <color theme="1"/>
        <rFont val="Calibri"/>
        <family val="2"/>
        <scheme val="minor"/>
      </rPr>
      <t xml:space="preserve"> -1 with a bit error rate of less than 10 </t>
    </r>
    <r>
      <rPr>
        <vertAlign val="superscript"/>
        <sz val="11"/>
        <color theme="1"/>
        <rFont val="Calibri"/>
        <family val="2"/>
        <scheme val="minor"/>
      </rPr>
      <t>-12</t>
    </r>
    <r>
      <rPr>
        <sz val="11"/>
        <color theme="1"/>
        <rFont val="Calibri"/>
        <family val="2"/>
        <scheme val="minor"/>
      </rPr>
      <t xml:space="preserve"> . The proposed transceiver system achieves an energy efficiency of 2.65 pJ/bit.</t>
    </r>
  </si>
  <si>
    <t>A Millimeter-Wave Receiver Using a Wideband Low-Noise Amplifier With One-Port Coupled Resonator Loads</t>
  </si>
  <si>
    <t xml:space="preserve"> Rahul Singh ; Susnata Mondal ; Jeyanandh Paramesh </t>
  </si>
  <si>
    <r>
      <t xml:space="preserve">This article presents design techniques to facilitate the use of the driving point impedance ( </t>
    </r>
    <r>
      <rPr>
        <i/>
        <sz val="13.2"/>
        <color theme="1"/>
        <rFont val="MathJax_Math"/>
      </rPr>
      <t>Z</t>
    </r>
    <r>
      <rPr>
        <sz val="7.75"/>
        <color theme="1"/>
        <rFont val="MathJax_Main"/>
      </rPr>
      <t>11</t>
    </r>
    <r>
      <rPr>
        <sz val="11"/>
        <color theme="1"/>
        <rFont val="Calibri"/>
        <family val="2"/>
        <scheme val="minor"/>
      </rPr>
      <t xml:space="preserve"> ) of one-port transformer-coupled resonators as wideband loads of millimeter-wave amplifier stages for a 28-GHz receiver front end. While the use of both the </t>
    </r>
    <r>
      <rPr>
        <i/>
        <sz val="13.2"/>
        <color theme="1"/>
        <rFont val="MathJax_Math"/>
      </rPr>
      <t>Z</t>
    </r>
    <r>
      <rPr>
        <sz val="7.75"/>
        <color theme="1"/>
        <rFont val="MathJax_Main"/>
      </rPr>
      <t>11</t>
    </r>
    <r>
      <rPr>
        <sz val="11"/>
        <color theme="1"/>
        <rFont val="Calibri"/>
        <family val="2"/>
        <scheme val="minor"/>
      </rPr>
      <t xml:space="preserve"> of a one-port and the transimpedance ( </t>
    </r>
    <r>
      <rPr>
        <i/>
        <sz val="13.2"/>
        <color theme="1"/>
        <rFont val="MathJax_Math"/>
      </rPr>
      <t>Z</t>
    </r>
    <r>
      <rPr>
        <sz val="7.75"/>
        <color theme="1"/>
        <rFont val="MathJax_Main"/>
      </rPr>
      <t>21</t>
    </r>
    <r>
      <rPr>
        <sz val="11"/>
        <color theme="1"/>
        <rFont val="Calibri"/>
        <family val="2"/>
        <scheme val="minor"/>
      </rPr>
      <t xml:space="preserve"> ) of a two-port coupled resonator is considered to achieve a wideband response, it is shown that under conditions of low magnetic coupling and constrained network quality factor, the use of </t>
    </r>
    <r>
      <rPr>
        <i/>
        <sz val="13.2"/>
        <color theme="1"/>
        <rFont val="MathJax_Math"/>
      </rPr>
      <t>Z</t>
    </r>
    <r>
      <rPr>
        <sz val="7.75"/>
        <color theme="1"/>
        <rFont val="MathJax_Main"/>
      </rPr>
      <t>11</t>
    </r>
    <r>
      <rPr>
        <sz val="11"/>
        <color theme="1"/>
        <rFont val="Calibri"/>
        <family val="2"/>
        <scheme val="minor"/>
      </rPr>
      <t xml:space="preserve"> can result in a higher gain–bandwidth product of low-noise amplifier (LNA) amplifier stages. The effect of the complex zero in the </t>
    </r>
    <r>
      <rPr>
        <i/>
        <sz val="13.2"/>
        <color theme="1"/>
        <rFont val="MathJax_Math"/>
      </rPr>
      <t>Z</t>
    </r>
    <r>
      <rPr>
        <sz val="7.75"/>
        <color theme="1"/>
        <rFont val="MathJax_Main"/>
      </rPr>
      <t>11</t>
    </r>
    <r>
      <rPr>
        <sz val="11"/>
        <color theme="1"/>
        <rFont val="Calibri"/>
        <family val="2"/>
        <scheme val="minor"/>
      </rPr>
      <t xml:space="preserve"> response on the in-band gain ripple is shown to be alleviated merely by lowering the quality factor of the transformer’s secondary coil; this strongly motivates the use of compact, nested-inductor transformer layouts. Implemented in a 65-nm CMOS process, a three-stage LNA (with </t>
    </r>
    <r>
      <rPr>
        <i/>
        <sz val="13.2"/>
        <color theme="1"/>
        <rFont val="MathJax_Math"/>
      </rPr>
      <t>Z</t>
    </r>
    <r>
      <rPr>
        <sz val="7.75"/>
        <color theme="1"/>
        <rFont val="MathJax_Main"/>
      </rPr>
      <t>11</t>
    </r>
    <r>
      <rPr>
        <sz val="11"/>
        <color theme="1"/>
        <rFont val="Calibri"/>
        <family val="2"/>
        <scheme val="minor"/>
      </rPr>
      <t xml:space="preserve"> wideband loads in two stages) achieves a 24.4–32.3-GHz bandwidth (27.9 % fractional bandwidth), a peak </t>
    </r>
    <r>
      <rPr>
        <i/>
        <sz val="13.2"/>
        <color theme="1"/>
        <rFont val="MathJax_Math"/>
      </rPr>
      <t>S</t>
    </r>
    <r>
      <rPr>
        <sz val="7.75"/>
        <color theme="1"/>
        <rFont val="MathJax_Main"/>
      </rPr>
      <t>21</t>
    </r>
    <r>
      <rPr>
        <sz val="11"/>
        <color theme="1"/>
        <rFont val="Calibri"/>
        <family val="2"/>
        <scheme val="minor"/>
      </rPr>
      <t xml:space="preserve"> of 24.4 dB (20.4 dB), a minimum noise figure (NF) of 4 dB (4.6 dB), and an input-referred P1dB of −23 dBm (−22 dBm) while consuming 22-mW (9.9 mW) power from a 1.1-V (0.85 V) supply. The use of compact transformers limits the LNA’s footprint to only 0.12 mm </t>
    </r>
    <r>
      <rPr>
        <vertAlign val="superscript"/>
        <sz val="11"/>
        <color theme="1"/>
        <rFont val="Calibri"/>
        <family val="2"/>
        <scheme val="minor"/>
      </rPr>
      <t>2</t>
    </r>
    <r>
      <rPr>
        <sz val="11"/>
        <color theme="1"/>
        <rFont val="Calibri"/>
        <family val="2"/>
        <scheme val="minor"/>
      </rPr>
      <t xml:space="preserve"> . A 26.5–32.5-GHz quadrature receiver prototype employing the LNA achieves a 29.5-dB peak conversion gain, a 5.3-dB minimum NF, and a −26-dBm input-referred P1dB while consuming 33 mW from a 1.1-V supply.</t>
    </r>
  </si>
  <si>
    <t>https://ieeexplore.ieee.org/document/9062597</t>
  </si>
  <si>
    <t>https://ieeexplore.ieee.org/document/9076287</t>
  </si>
  <si>
    <t>A 28-/60-GHz Band-Switchable Bidirectional Amplifier for Reconfigurable mm-Wave Transceivers</t>
  </si>
  <si>
    <t xml:space="preserve"> Asad Ali Nawaz ; John D. Albrecht ; Ahmet Çağrı Ulusoy </t>
  </si>
  <si>
    <t>Performance limits and design techniques for millimeter-wave amplifiers employing switches for multiband operation are presented in this article. A bidirectional dual-band amplifier is designed in a 130-nm silicon-germanium (SiGe) process. The amplifier can shift its operational frequency between 28 or 60 GHz and can operate in low-noise receive or high-power transmit mode. The frequency shift and transmit-receive (T/R) mode change has been realized using shunt switches based on SiGe HBTs. The switches are co-optimized and integrated with amplifiers to reduce the die area and improve performance. An analysis of switch loss reduction and associated tradeoffs is provided. The designed shunt switch, for band-switching operation, achieves the simulated ON-loss of as low as 1 dB at 60 GHz and OFF-loss of 0.7 dB at 28 GHz. By using these low-loss switches and a codesign approach, the proposed T/R amplifier surpasses the state-of-the-art performance in terms of mm-wave multiband amplifiers.</t>
  </si>
  <si>
    <t>https://ieeexplore.ieee.org/document/9087903</t>
  </si>
  <si>
    <t>A High-Power 24-40-GHz Transmit-Receive Front End for Phased Arrays in 45-nm CMOS SOI</t>
  </si>
  <si>
    <t xml:space="preserve"> Mustafa Lokhandwala ; Li Gao ; Gabriel M. Rebeiz </t>
  </si>
  <si>
    <t>Early access</t>
  </si>
  <si>
    <t>This article presents a dual-band millimeter-wave front end in 45-nm CMOS silicon-on-insulator (SOI) for 5G applications. The front end is composed of a low-noise amplifier (LNA), power amplifier (PA), and a single-pole double-throw (SPDT) switch. A double-tuned PA is used and is based on a two-stage stacked amplifier with a reconfigurable load using SOI switches, so as to achieve an optimal load for both 28- and 39-GHz 5G NR bands. A wideband series-shunt switch is also developed with high power handling (P1dB &gt; 22 dBm) and &lt;1-dB insertion loss at 20-40 GHz. In the receive mode, the front end has a measured peak gain of 19.3 dB with a 3-dB bandwidth of 19.7-40 GHz, a noise figure (NF) &lt; 4 dB at 18-40 GHz, and an IP1dB of 19 to 16 dBm. In the transmit mode and for low-band operation, the peak gain is 17.6 dB with a 3-dB bandwidth of 22.7-30.8 GHz. The Psat is &gt;18.8 dBm and the peak PAE is 18% at 24-30 GHz and includes the switch loss and compression. For high-band operation, the gain at 36-40 GHz is 13.6 ± 1.5 dB with Psat &gt; 18 dBm. To the best of our knowledge, this is the first front end that covers both the 24-28- and 37-40-GHz 5G bands with high output power and low-NF. Application areas are in multistandard base stations and small cells.</t>
  </si>
  <si>
    <t>https://ieeexplore.ieee.org/document/9109570</t>
  </si>
  <si>
    <t>A 22-44-GHz Phased-Array Receive Beamformer in 45-nm CMOS SOI for 5G Applications With 3-3.6-dB NF</t>
  </si>
  <si>
    <t xml:space="preserve">Li Gao ; Gabriel M. Rebeiz </t>
  </si>
  <si>
    <t>This article presents a 22-44-GHz phased-array receive beamformer in the GlobalFoundries (GF) 45-nm CMOS SOI. The channel includes a wideband single-ended to differential low-noise amplifier (LNA), a 5-bit vector modulator (VM) phase shifter with a measured rms error of &lt;6°, an attenuator, and a variable gain amplifier (VGA) with 16 dB of gain control. The phased-array channel results in a peak gain of 26.3 dB and a 3-dB bandwidth of 20.5-44 GHz. The measured NF is 3-3.6 dB at 22-44 GHz with an IP1dB of -27.5 to -24.5 dBm and dc power consumption of 112 mW. To the best of our knowledge, this is the first wideband phased-array beamformer that covers the entire millimeter-wave 5G band with high linearity and should be suitable for next-generation 5G systems.</t>
  </si>
  <si>
    <t>https://ieeexplore.ieee.org/document/9133321</t>
  </si>
  <si>
    <t>Design of Low-Power Sub-2.4 dB Mean NF 5G LNAs Using Forward Body Bias in 22 nm FDSOI</t>
  </si>
  <si>
    <t xml:space="preserve">Omar El-Aassar ; Gabriel M. Rebeiz </t>
  </si>
  <si>
    <t>This article presents K/Ka-band low-noise-ampli-fiers (LNAs) for 5G front ends. The use of forward body bias (FBB) in fully depleted silicon-on-insulator (FDSOI) devices is studied and utilized to improve the LNA performance under reduced supply voltage and dc power (P dc). Design procedures targeting high linearity, low noise, and high gain are provided. The two-stage common-source LNA (CS-LNA) achieves sub-2.1 dB mean NF, 20.1 dB peak gain, 9 GHz 3 dB bandwidth (BW) from 19.5 to 28.5 GHz, and an in-band IIP₃ of 0 dBm with 9.6 mW P dc. The single-stage cascode LNA (CAS-LNA) achieves over 10 dB gain, 11 GHz 3 dB BW, and an IIP₃ of 7.5 dBm for a 2.2 dB mean NF. The two-stage CAS-LNA has 28.5 dB peak gain, 4 GHz BW, and 2.25 dB mean NF for 20 mW P dc. In the low-power mode, the CS-LNA operates at 0.4 V with P dc of 3.2 mW, 16.9 dB gain, and less than 2.2 dB mean NF, while the two-stage CAS-LNA achieves 2.4 dB NF and 23 dB gain for 5.5 mW. Also, ultralow-power operation and sub-3 dB NF are possible with the CS-LNA at 0.2 V/1 mW with 12 dB gain and for the CAS-LNA at 0.4 V/2.4 mW with 17.7 dB gain. To the best of our knowledge, the single-stage CAS-LNA shows the highest IIP₃ at 28 GHz compared with the published CMOS work. The two-stage FBB CS and CAS designs have the lowest voltage supply, P dc, and best Figure of Merit (FoM) for mm-waves 5G LNAs in the low-power mode.</t>
  </si>
  <si>
    <t>https://ieeexplore.ieee.org/document/9165967</t>
  </si>
  <si>
    <t>A Broadband CMOS RF Front End for Direct Sampling Satellite Receivers</t>
  </si>
  <si>
    <t xml:space="preserve">Jie Fang ; Chaoming Zhang ; Frank W. Singor ; Jacob A. Abraham </t>
  </si>
  <si>
    <t>This paper presents a comparative analysis between two new architectures for RF programmable-gain amplifiers (RFPGAs): voltage-mode RFPGA-V and current-mode RFPGA-I. RFPGA-V utilizes multiple-switch-multiple-amplifier configuration and gain interpolation method to achieve a fine gain step of 0.25-dB over 42-dB gain range for the band of 250 MHz to 2.3 GHz. Meanwhile, RFPGA-I uses a current steering approach to achieve a fine gain step of 0.25-dB over 42-dB gain range for an even wider band of 250 MHz to 3.4 GHz. Since the active feedback topology is used, no off-chip inductor is needed in either RFPGA, especially for the low-frequency band. In addition, both RFPGA-V and RFPGA-I are able to handle maximum 4.4 V peak-to-peak input signal without compromising their high operating bandwidth. Two broadband RF front ends for direct sampling receivers, which include either RFPGA-V or RFPGA-I followed by the same gain buffer and RF filter, have been demonstrated. For the RF front end with RFPGA-V, the measured gain, noise figure, third-order input-referred intercept point (IIP3), and second-order input-referred intercept point (IIP2) in the differential mode are 29.5 dB, 5.2 dB, -10.9 dBm, and 31.4 dBm, respectively. With RFPGA-I, they are 30.5 dB, 3 dB, -10.5 dBm, and 21.1 dBm, respectively. Both RF front ends consume approximated 50 mW and occupy the similar area of 0.32 mm 2 in 28-nm CMOS technology.</t>
  </si>
  <si>
    <t>https://ieeexplore.ieee.org/document/8732477</t>
  </si>
  <si>
    <t>3.2-mW Ultra-Low-Power 173–207-GHz Amplifier With 130-nm SiGe HBTs Operating in Saturation</t>
  </si>
  <si>
    <t xml:space="preserve"> Yaxin Zhang ; Wenfeng Liang ; Xiaodi Jin ; Mario Krattenmacher ; Sophia Falk ; Paulius Sakalas ; Bernd Heinemann; Michael Schröter</t>
  </si>
  <si>
    <r>
      <t xml:space="preserve">This article presents an ultra-low-power silicon germanium heterojunction bipolar transistor (SiGe HBT) amplifier operating at 200 GHz. The amplifier consists of three cascaded gain-cell stages and was implemented in an experimental 130-nm SiGe HBT technology with peak f </t>
    </r>
    <r>
      <rPr>
        <vertAlign val="subscript"/>
        <sz val="11"/>
        <color theme="1"/>
        <rFont val="Calibri"/>
        <family val="2"/>
        <scheme val="minor"/>
      </rPr>
      <t>T</t>
    </r>
    <r>
      <rPr>
        <sz val="11"/>
        <color theme="1"/>
        <rFont val="Calibri"/>
        <family val="2"/>
        <scheme val="minor"/>
      </rPr>
      <t xml:space="preserve"> /f </t>
    </r>
    <r>
      <rPr>
        <vertAlign val="subscript"/>
        <sz val="11"/>
        <color theme="1"/>
        <rFont val="Calibri"/>
        <family val="2"/>
        <scheme val="minor"/>
      </rPr>
      <t>max</t>
    </r>
    <r>
      <rPr>
        <sz val="11"/>
        <color theme="1"/>
        <rFont val="Calibri"/>
        <family val="2"/>
        <scheme val="minor"/>
      </rPr>
      <t xml:space="preserve"> of 460/600 GHz. In order to achieve the demonstrated extremely low dc power dissipation, the circuit was designed with transistors operating at forward-biased base-collector junction voltage (V </t>
    </r>
    <r>
      <rPr>
        <vertAlign val="subscript"/>
        <sz val="11"/>
        <color theme="1"/>
        <rFont val="Calibri"/>
        <family val="2"/>
        <scheme val="minor"/>
      </rPr>
      <t>BC</t>
    </r>
    <r>
      <rPr>
        <sz val="11"/>
        <color theme="1"/>
        <rFont val="Calibri"/>
        <family val="2"/>
        <scheme val="minor"/>
      </rPr>
      <t xml:space="preserve"> ). With 1.3-V supply voltage (V </t>
    </r>
    <r>
      <rPr>
        <vertAlign val="subscript"/>
        <sz val="11"/>
        <color theme="1"/>
        <rFont val="Calibri"/>
        <family val="2"/>
        <scheme val="minor"/>
      </rPr>
      <t>BC</t>
    </r>
    <r>
      <rPr>
        <sz val="11"/>
        <color theme="1"/>
        <rFont val="Calibri"/>
        <family val="2"/>
        <scheme val="minor"/>
      </rPr>
      <t xml:space="preserve"> ≈ 0.2 V), this amplifier exhibits a peak gain of 23.5 dB at 180 and 205 GHz with 34-GHz 3-dB bandwidth (BW) from 173 to 207 GHz, consuming 3.2-mW static dc power. Even with a supply voltage of 0.7 V (V </t>
    </r>
    <r>
      <rPr>
        <vertAlign val="subscript"/>
        <sz val="11"/>
        <color theme="1"/>
        <rFont val="Calibri"/>
        <family val="2"/>
        <scheme val="minor"/>
      </rPr>
      <t>BC</t>
    </r>
    <r>
      <rPr>
        <sz val="11"/>
        <color theme="1"/>
        <rFont val="Calibri"/>
        <family val="2"/>
        <scheme val="minor"/>
      </rPr>
      <t xml:space="preserve"> ≈ 0.5 V), this amplifier still operates with a peak gain of 18.3 dB at 175 GHz, dissipating an extremely low dc power of 1.73 mW. Compared with the previously reported low-power amplifiers operating around 200 GHz, this article achieves the highest linear gain relative to the dc power consumption with an improvement factor of ten, as well as highly competitive performances in terms of noise figure and 3-dB BW.</t>
    </r>
  </si>
  <si>
    <t>https://ieeexplore.ieee.org/document/8948241</t>
  </si>
  <si>
    <t>A 1.7-dB Minimum NF, 22–32-GHz Low-Noise Feedback Amplifier With Multistage Noise Matching in 22-nm FD-SOI CMOS</t>
  </si>
  <si>
    <t xml:space="preserve"> Bolun Cui ; John R. Long </t>
  </si>
  <si>
    <t>A low-noise feedback amplifier (LNA) with interstage noise matching is implemented in 22-nm fully depleted silicon-on-insulator (SOI)-CMOS technology. Minimum noise figure (NF) is 1.7 dB centered at 28 GHz, and NF remains below 1.98±0.25 dB across a 10-GHz range. Peak gain of the two-stage LNA is 21.5 dB at 22 GHz, and the bandwidth (BW) for |S 21 | is 19-36 GHz. Input and output return losses are better than 10 dB across an effective LNA BW of 22-32 GHz. The third-order input intercept is -13.4 dBm at peak gain when dissipating 17.3 mW. Continuous dc power control on the fly is implemented using modulation of FET backgates. When dc power consumption is reduced 5.6 mW, NF increases by less than 0.5 dB, peak gain decreases by 3.6 dB, and input return loss remains better than 10 dB with no change in effective BW.</t>
  </si>
  <si>
    <t>https://ieeexplore.ieee.org/document/8976309</t>
  </si>
  <si>
    <t>A Single-Pin Antenna Interface RF Front End Using a Single-MOS DCO-PA and a Push–Pull LNA</t>
  </si>
  <si>
    <t xml:space="preserve">Kai Xu ; Jun Yin ; Pui-In Mak ; Robert Bogdan Staszewski ; Rui P. Martins </t>
  </si>
  <si>
    <t>We propose a simple power-efficient sub-1-V fully integrated RF front end (RFE) for 2.4-GHz transceivers. It introduces the following innovations. First, a function-reuse single-MOS digitally controlled oscillator power amplifier (DCO-PA) with full supply utilization improves antenna-to-DCO isolation for better resilience to jammers. Second, a noninverting transmitter (TX) matching transformer with a zero-shifting capacitor suppresses the second-harmonic emission of the DCO-PA and allows a single-pin antenna interface for both TX and receiver (RX) modes eliminating the transmit/receive (T/R) switches in the signal path. Third, a push-pull low-noise amplifier (LNA) reuses the TX matching transformer for passive gain boosting that reduces power consumption. Fabricated in 65-nm CMOS, the RFE occupies merely 0.17 mm 2 . Through the functional merge of the oscillator and PA, it can transmit 0 dBm at RF, featuring 10.2% power efficiency when delivering the RF power as low as -10 dBm at a 0.3-V supply. Under a 0.5-V supply, the LNA shows 11-dB gain and 6.8-dB noise figure (NF) while consuming 174 μW.</t>
  </si>
  <si>
    <t>https://ieeexplore.ieee.org/document/9096537</t>
  </si>
  <si>
    <t>A 20-GHz 1.9-mW LNA Using gm-Boost and Current-Reuse Techniques in 65-nm CMOS for Satellite Communications</t>
  </si>
  <si>
    <t xml:space="preserve"> Jiajun Zhang ; Dixian Zhao ; Xiaohu You </t>
  </si>
  <si>
    <r>
      <t xml:space="preserve">A 20-GHz low-power low-noise amplifier (LNA) in 65-nm CMOS is presented. The LNA is cascaded with a single-ended </t>
    </r>
    <r>
      <rPr>
        <i/>
        <sz val="13.2"/>
        <color theme="1"/>
        <rFont val="MathJax_Math"/>
      </rPr>
      <t>g</t>
    </r>
    <r>
      <rPr>
        <sz val="7.75"/>
        <color theme="1"/>
        <rFont val="MathJax_Main"/>
      </rPr>
      <t>m</t>
    </r>
    <r>
      <rPr>
        <sz val="11"/>
        <color theme="1"/>
        <rFont val="Calibri"/>
        <family val="2"/>
        <scheme val="minor"/>
      </rPr>
      <t xml:space="preserve"> -boosted common-gate (CG) stage and a differential neutralized common-source (CS) stage. Current-reuse technique is employed to save the power consumption with little deterioration in gain and noise figure (NF). The transformer-based </t>
    </r>
    <r>
      <rPr>
        <i/>
        <sz val="13.2"/>
        <color theme="1"/>
        <rFont val="MathJax_Math"/>
      </rPr>
      <t>g</t>
    </r>
    <r>
      <rPr>
        <sz val="7.75"/>
        <color theme="1"/>
        <rFont val="MathJax_Main"/>
      </rPr>
      <t>m</t>
    </r>
    <r>
      <rPr>
        <sz val="11"/>
        <color theme="1"/>
        <rFont val="Calibri"/>
        <family val="2"/>
        <scheme val="minor"/>
      </rPr>
      <t xml:space="preserve"> -boost technique in the CG stage and neutralization technique in CS stage further enhances the RF performances. Inter-stage magnetically coupled resonator (MCR) extends the bandwidth. An elaborate analysis of the current-reused CG–CS LNA using a transformer-based </t>
    </r>
    <r>
      <rPr>
        <i/>
        <sz val="13.2"/>
        <color theme="1"/>
        <rFont val="MathJax_Math"/>
      </rPr>
      <t>g</t>
    </r>
    <r>
      <rPr>
        <sz val="7.75"/>
        <color theme="1"/>
        <rFont val="MathJax_Main"/>
      </rPr>
      <t>m</t>
    </r>
    <r>
      <rPr>
        <sz val="11"/>
        <color theme="1"/>
        <rFont val="Calibri"/>
        <family val="2"/>
        <scheme val="minor"/>
      </rPr>
      <t xml:space="preserve"> -boost technique and transformer-based MCR is proposed. Fabricated in 65-nm CMOS technology, the LNA achieves a measured power gain of 14.9 dB at 21 GHz with a −3-dB bandwidth of 4.8 GHz. The lowest NF is 3.3 dB at 19.5 GHz and is below 4 dB from 17 to 21 GHz. The LNA consumes 1.9 mW from a 1-V supply, with a chip area of 600 </t>
    </r>
    <r>
      <rPr>
        <i/>
        <sz val="13.2"/>
        <color theme="1"/>
        <rFont val="MathJax_Math"/>
      </rPr>
      <t>μ</t>
    </r>
    <r>
      <rPr>
        <sz val="13.2"/>
        <color theme="1"/>
        <rFont val="MathJax_Main"/>
      </rPr>
      <t>m×</t>
    </r>
    <r>
      <rPr>
        <sz val="11"/>
        <color theme="1"/>
        <rFont val="Calibri"/>
        <family val="2"/>
        <scheme val="minor"/>
      </rPr>
      <t xml:space="preserve"> 700 </t>
    </r>
    <r>
      <rPr>
        <i/>
        <sz val="13.2"/>
        <color theme="1"/>
        <rFont val="MathJax_Math"/>
      </rPr>
      <t>μ</t>
    </r>
    <r>
      <rPr>
        <sz val="13.2"/>
        <color theme="1"/>
        <rFont val="MathJax_Main"/>
      </rPr>
      <t>m</t>
    </r>
    <r>
      <rPr>
        <sz val="11"/>
        <color theme="1"/>
        <rFont val="Calibri"/>
        <family val="2"/>
        <scheme val="minor"/>
      </rPr>
      <t xml:space="preserve"> .</t>
    </r>
  </si>
  <si>
    <t>https://ieeexplore.ieee.org/document/9104926</t>
  </si>
  <si>
    <t>A 0.02-4.5-GHz LN(T)A in 28-nm CMOS for 5G Exploiting Noise Reduction and Current Reuse</t>
  </si>
  <si>
    <t xml:space="preserve">Amir Bozorg ; Robert Bogdan Staszewski </t>
  </si>
  <si>
    <t>In this article, a new noise reduction/cancellation technique is proposed to improve noise figure (NF) of a broadband low-noise transconductance amplifier (LNTA) for 5G receivers. The LNTA combines a common-gate (CG) stage for wideband input matching and a common-source (CS) stage for canceling the noise and distortion of the CG stage. Yet, another noise reduction is applied to reduce the channel thermal noise of the noise cancellation stage itself. The technique further exploits current reuse and increases transconductance of the CS transistor while keeping its power consumption low. Fabricated in 28-nm CMOS, the proposed LNTA is capable of driving an external 50-Ω load and achieves a NF of 2.09-3.2 dB and input return loss (S₁₁) better than -10 dB over the 3-dB bandwidth of 20 MHz-4.5 GHz while consuming 4.5 mW from a single 1-V power supply. The achieved gain (S₂₁) and IIP3 are 15.2 dB and -4.6 dBm, respectively.</t>
  </si>
  <si>
    <t>https://ieeexplore.ieee.org/document/9186793</t>
  </si>
  <si>
    <t>An E-Band High-Linearity Antenna-LNA Front-End with 4.8dB NF and 2.2dBm IIP3 Exploiting Multi-Feed On-Antenna Noise-Canceling and Gm-Boosting</t>
  </si>
  <si>
    <t xml:space="preserve"> A digitally assisted CMOS WiFi 802.11ac/11ax front-end module achieving 12% PA efficiency at 20dBm output power with 160MHz 256-QAM OFDM signal</t>
  </si>
  <si>
    <t>A 68.1-to-96.4GHz variable-gain low-noise amplifier in 28nm CMOS</t>
  </si>
  <si>
    <t>A fully integrated TV tuner front-end with 3.1dB NF, &gt;+31dBm OIP3, &gt;83dB HRR3/5 and &gt;68dB HRR7</t>
  </si>
  <si>
    <t xml:space="preserve"> Sensen Li ; Taiyun Chi ; Doohwan Jung ; Tzu-Yuan Huang ; Min-Yu Huang ; Hua Wang </t>
  </si>
  <si>
    <r>
      <t xml:space="preserve">In this paper, we explore the antenna-electronics co-design concept on RX topologies to enhance key RX performance at high mm-wave frequencies, such as NF and linearity. For proof-of-concept, we present an E-band high-linearity muiti-feed-antenna-LNA co-designed front-end in a 45nm CMOS SOI process that supports applications like wireless back -haul and automotive radar. It exploits on -antenna noise -canceling, g </t>
    </r>
    <r>
      <rPr>
        <vertAlign val="subscript"/>
        <sz val="11"/>
        <color theme="1"/>
        <rFont val="Calibri"/>
        <family val="2"/>
        <scheme val="minor"/>
      </rPr>
      <t>m</t>
    </r>
    <r>
      <rPr>
        <sz val="11"/>
        <color theme="1"/>
        <rFont val="Calibri"/>
        <family val="2"/>
        <scheme val="minor"/>
      </rPr>
      <t xml:space="preserve"> -boosting, and power-division to improve E -band RX NF and linearity achievable in silicon front-ends, and the high-resistivity silicon substrate enables high-efficiency on-chip antennas and one-chip integration with front-end electronics without packaging complexity.</t>
    </r>
  </si>
  <si>
    <t>16/02/2020</t>
  </si>
  <si>
    <t>https://ieeexplore.ieee.org/document/9063008</t>
  </si>
  <si>
    <t>A 1.2-2.8 GHz Tunable Low-noise Amplifier with 0.8-1.6 dB Noise Figure</t>
  </si>
  <si>
    <t xml:space="preserve"> Hao Gao ; Zhe Song ; Zhe Chen ; Domine M. W. Leenaerts ; Peter G. M. Baltus </t>
  </si>
  <si>
    <t>This paper presents a tunable wideband low-noise amplifier (LNA) covering 1.2 to 2.8 GHz and is realized in a 0.25 μm SiGe:C BiCMOS technology. The LNA covers 80% fractional bandwidth in 16 states using a dual-LC tanks input broadband noise matching technique and a switch capacitor output frequency selection network. The measured minimal noise figure (NF) is 0.8 dB at 1.4 and 1.8 GHz, and the average NF is 1.2 (± 0.4) dB from 1.2 to 2.8 GHz. The best gain is 14 dB at 2 GHz and with ±0.5 dB flatness bandwidth covers from 1.4 GHz to 2.6 GHz. The measured input 1-dB compression point and input IP3 are better than -8 dBm and 3.5 dBm, respectively.</t>
  </si>
  <si>
    <t>A 28-GHz CMOS LNA with Stability-Enhanced Gm-Boosting Technique Using Transformers</t>
  </si>
  <si>
    <t xml:space="preserve"> Sunwoo Kong ; Hui-Dong Lee ; Seunghyun Jang ; Jeehoon Park ; Kwang-Seon Kim ; Kwang-Chun Lee </t>
  </si>
  <si>
    <r>
      <t xml:space="preserve">In this paper, we propose a low noise amplifier (LNA) using a g </t>
    </r>
    <r>
      <rPr>
        <vertAlign val="subscript"/>
        <sz val="11"/>
        <color theme="1"/>
        <rFont val="Calibri"/>
        <family val="2"/>
        <scheme val="minor"/>
      </rPr>
      <t>m</t>
    </r>
    <r>
      <rPr>
        <sz val="11"/>
        <color theme="1"/>
        <rFont val="Calibri"/>
        <family val="2"/>
        <scheme val="minor"/>
      </rPr>
      <t xml:space="preserve"> -boosting technique with improved stability using transformers in the millimeter-wave (mm-Wave) band. The transformer composed of three inductors improves not only stability, but also gain and low-noise performance of the LNA. The conditions for stability shows that the proposed structure can guarantee good stability over a high frequency range. The chip was fabricated using the TSMC 65-nm CMOS process and it has an active chip area of 0.11 μm </t>
    </r>
    <r>
      <rPr>
        <vertAlign val="superscript"/>
        <sz val="11"/>
        <color theme="1"/>
        <rFont val="Calibri"/>
        <family val="2"/>
        <scheme val="minor"/>
      </rPr>
      <t>2</t>
    </r>
    <r>
      <rPr>
        <sz val="11"/>
        <color theme="1"/>
        <rFont val="Calibri"/>
        <family val="2"/>
        <scheme val="minor"/>
      </rPr>
      <t xml:space="preserve"> . The fabricated LNA has a gain of 18.33 dB and a noise figure (NF) of 3.25-4.2 dB. The stability factor μ values are 9.7 and 5.2 at the source and load sides of the LNA, respectively. The 3-dB bandwidth of the LNA is 24.9-32.5 GHz and the chip consumes 17.1-mA current from a 1.2-V supply.</t>
    </r>
  </si>
  <si>
    <t>https://ieeexplore.ieee.org/document/8701753</t>
  </si>
  <si>
    <t>https://ieeexplore.ieee.org/document/8701862</t>
  </si>
  <si>
    <t>A Low Noise Figure 28GHz LNA in 22nm FDSOI Technology</t>
  </si>
  <si>
    <t xml:space="preserve"> Chi Zhang ; Frank Zhang ; Shafiullah Syed ; Michael Otto ; Abdellatif Bellaouar </t>
  </si>
  <si>
    <t>This paper presents a 28GHz low noise amplifier (LNA) implemented in 22nm FDSOI technology. The LNA is based on inductively degenerated common source topology with cascode device. With several special layout techniques, the LNA achieved best in class noise figure (NF). At 28GHz, the LNA has a gain of 12dB, input referred third-order intercept point (IIP3) of 3.0dBm and input reference 1-dB compression point (IP1dB) of - 7.6dBm. The 1-dB and 3-dB bandwidth of the LNA is 8.5GHz and 15.1GHz, respectively. The lowest achieved NF is 1.46dB at 24GHz with power dissipation (PDC) of 9.8mW. Another LNA with larger device width was also implemented to achieve better NF. For this LNA, the lowest achieved NF is 1.35dB at 24GHz with PDC of 13.0mW. It could also achieve 1.8dB NF at 28GHz at 5.0mW PDC.</t>
  </si>
  <si>
    <t>https://ieeexplore.ieee.org/document/8701831</t>
  </si>
  <si>
    <t>A 1.7-dB Minimum NF, 22-32 GHz Low-Noise Feedback Amplifier with Multistage Noise Matching in 22-nm SOI-CMOS</t>
  </si>
  <si>
    <t xml:space="preserve"> Bolun Cui ; John R. Long ; David L. Harame </t>
  </si>
  <si>
    <t>A transformer-feedback low-noise amplifier (LNA) implemented in 22-nm SOI-CMOS with interstage noise matching is described. The LNA peak gain is 21.5dB at 22GHz, with a -3dB bandwidth (BW) of 19-36GHz. Minimum noise figure (NF) is 1.7dB centered at 28GHz, and remains below 2.2dB across 10GHz. Third-order input intercept (IIP 3 ) is -13.4dBm at peak gain when dissipating 17.3mW. Input and output return losses are &gt;10dB across 22-32GHz (effective BW). Modulation of the FET backgate voltage increases NF by &lt;;0.5dB, while reducing power consumption to just 5.6mW.</t>
  </si>
  <si>
    <t>https://ieeexplore.ieee.org/document/8701739</t>
  </si>
  <si>
    <t>A 24-43 GHz LNA with 3.1-3.7 dB Noise Figure and Embedded 3-Pole Elliptic High-Pass Response for 5G Applications in 22 nm FDSOI</t>
  </si>
  <si>
    <t>This paper presents a 20-44 GHz low-noise amplifier in 22 nm FDSOI with low noise figure and low DC power consumption. The LNA is based on a 3-stage cascode amplifier which is co-designed with embedded high-pass filters so as to results in a very sharp rejection at &lt;; 16 GHz, exhibiting an elliptic filter response. This is ideal for wideband 5G amplifiers as it greatly reduces the 2 nd the 3 rd harmonic interference issues arising from X and Ku-band blockers (8-16 GHz). A wideband transformer-based input matching is used resulting in S 11 &lt;; -9 dB at 20-40 GHz. The measured gain is &gt; 17 dB at 20-43 GHz with a peak of 23 dB at 40 GHz. The LNA achieves a NF of 3.1-3.7 dB (3.4±0.3 dB) at 24-43 GHz, an in-band IIP3 of -13.2 to -19 dBm at 20-40 GHz, all at a power consumption of 20.5 mW. Operation at 12 mW is also shown, with a maximum gain and minimum NF of 18.2 dB and 3.4 dB at 24-43 GHz. To our knowledge, the LNA represents the highest FoM achieved at this frequency range todate and includes an embedded 3-pole filter response.</t>
  </si>
  <si>
    <t>https://ieeexplore.ieee.org/document/8701782</t>
  </si>
  <si>
    <t>A Ka/V Band-Switchable LNA With 2.8/3.4 dB Noise Figure</t>
  </si>
  <si>
    <t xml:space="preserve"> Asad A. Nawaz ; John D. Albrecht ; A. Çağrı Ulusoy </t>
  </si>
  <si>
    <r>
      <t xml:space="preserve">A 0.13 μm SiGe BiCMOS band-switchable low noise amplifier (LNA) is developed which can be operated at 28 or 60 GHz. The LNA employs an LC tank at the input to perform dualband impedance matching, while the output is switched from one band to the other using a tunable stub. The stub is made tunable by using an HBT switch, which reduces the stub's length when turned on shifting the LNA between 28 and 60 GHz modes. The switch has 1.2 dB ONand 0.7 dB OFF-state losses. The measured results are /15 dB small signal gain, 2.8/3.4 dB noise figure, and -12/-7 dBm compression point (P1dB) at 28/60 GHz, respectively. The band-switchable compact LNA has a chip size of 0.48 × 0.48 mm </t>
    </r>
    <r>
      <rPr>
        <vertAlign val="superscript"/>
        <sz val="11"/>
        <color theme="1"/>
        <rFont val="Calibri"/>
        <family val="2"/>
        <scheme val="minor"/>
      </rPr>
      <t>2</t>
    </r>
    <r>
      <rPr>
        <sz val="11"/>
        <color theme="1"/>
        <rFont val="Calibri"/>
        <family val="2"/>
        <scheme val="minor"/>
      </rPr>
      <t xml:space="preserve"> and consumes a dc power of 8.2/21 mW at 2.5 V supply voltage. Among the research studies, this is the first demonstration of a 28/60 GHz dual-band LNA with a performance comparable to dedicated LNAs in each band.</t>
    </r>
  </si>
  <si>
    <t>https://ieeexplore.ieee.org/document/8844744</t>
  </si>
  <si>
    <t>A 180-nm X-Band Cryogenic CMOS LNA</t>
  </si>
  <si>
    <t xml:space="preserve">Alican çağlar ; Mustafa Berke Yelten </t>
  </si>
  <si>
    <r>
      <t xml:space="preserve">This letter presents the measurement results of a 180-nm complementary metal-oxide-semiconductor (CMOS) X-band low-noise amplifier (LNA) at both 77 and 300 K. The designed LNA provides S </t>
    </r>
    <r>
      <rPr>
        <vertAlign val="subscript"/>
        <sz val="11"/>
        <color theme="1"/>
        <rFont val="Calibri"/>
        <family val="2"/>
        <scheme val="minor"/>
      </rPr>
      <t>11</t>
    </r>
    <r>
      <rPr>
        <sz val="11"/>
        <color theme="1"/>
        <rFont val="Calibri"/>
        <family val="2"/>
        <scheme val="minor"/>
      </rPr>
      <t xml:space="preserve"> and S </t>
    </r>
    <r>
      <rPr>
        <vertAlign val="subscript"/>
        <sz val="11"/>
        <color theme="1"/>
        <rFont val="Calibri"/>
        <family val="2"/>
        <scheme val="minor"/>
      </rPr>
      <t>22</t>
    </r>
    <r>
      <rPr>
        <sz val="11"/>
        <color theme="1"/>
        <rFont val="Calibri"/>
        <family val="2"/>
        <scheme val="minor"/>
      </rPr>
      <t xml:space="preserve"> below -10 dB at both temperatures within 6.4-7.4 GHz band. At 300 K, the voltage gain of the designed LNA is higher than 12.5 dB, and it provides an average noise temperature of 275 K, as well as -1 dBm IIP3. At 77 K, the LNA has approximately an 18-dB voltage gain, 78-K noise figure (NF), and -3 dBm IIP3. The presented work is the first implemented X-band cryogenic CMOS LNA in the literature.</t>
    </r>
  </si>
  <si>
    <t>CMOS</t>
  </si>
  <si>
    <t>Technology</t>
  </si>
  <si>
    <t>Node</t>
  </si>
  <si>
    <t>SiGe</t>
  </si>
  <si>
    <t>mHEMT</t>
  </si>
  <si>
    <t>HEMT</t>
  </si>
  <si>
    <t>https://ieeexplore.ieee.org/stamp/stamp.jsp?tp=&amp;arnumber=1406056&amp;tag=1</t>
  </si>
  <si>
    <t>https://ieeexplore.ieee.org/stamp/stamp.jsp?tp=&amp;arnumber=4538245</t>
  </si>
  <si>
    <t>Physical Temp[K]</t>
  </si>
  <si>
    <t>https://ieeexplore.ieee.org/document/9043508</t>
  </si>
  <si>
    <t>A Submilliwatt K-Band Low-Noise Amplifier for Next Generation Radio Astronomical Receivers in 65-nm CMOS Process</t>
  </si>
  <si>
    <t xml:space="preserve"> Bo-Ze Lu ; Yunshan Wang ; Yi-Ching Wu ; Chau-Ching Chiong ; Huei Wang </t>
  </si>
  <si>
    <t>An ultralow-power K-band low-noise amplifier (LNA) for next generation radio astronomical receivers fabricated in 65-nm CMOS technology is presented in this letter. A gate-source transformer feedback is utilized for the simultaneous noise and impedance matching. In order to achieve high gain with limited dc power consumption (Pdc), a single-ended neutralization technique is applied to the circuit. According to measurement, the proposed K-band LNA achieves a 19.1-dB small signal gain with 2.8-GHz 3-dB bandwidth (21.2-24 GHz) and noise figure of 3.6 dB with only 0.99 mW Pdc. To the best of author's knowledge, this LNA shows the highest figure of merit (FoM), which is 7071 1/W, among published K-band low-power LNAs</t>
  </si>
  <si>
    <t>https://ieeexplore.ieee.org/document/9097831</t>
  </si>
  <si>
    <t>An 18–31-GHz GaN-Based LNA With 0.8-dB Minimum NF and High Robustness</t>
  </si>
  <si>
    <t xml:space="preserve"> Shiyong Zhang ; Jianxing Xu ; Penghui Zheng ; Rong Wang ; Xiaodong Tong </t>
  </si>
  <si>
    <t>Benefited from the high breakdown voltage and low noise characteristics, GaN high-electron mobility transistors (HEMTs) can be used for manufacturing of robust low noise amplifiers (LNAs). Therefore, limiter circuits which protect the entire system are no longer necessary and systems with smaller volume can be realized. In this letter, a LNA with low noise figure (NF) and longtime survivability for high input power stress is designed and fabricated in a 100-nm GaN process. The LNA achieves a minimum NF of 0.8 dB and a flat gain of 21 ± 0.5 dB from 18 to 31 GHz. The LNA can survive in a 28–30-dBm input stress for 60 min without significant performance degradation.</t>
  </si>
  <si>
    <t>https://ieeexplore.ieee.org/document/9153820</t>
  </si>
  <si>
    <t>Low-Noise Amplifiers Using 100-nm Gate Length GaN-on-Silicon Process in W-Band</t>
  </si>
  <si>
    <t xml:space="preserve">Xiaodong Tong ; Penghui Zheng ; Liang Zhang </t>
  </si>
  <si>
    <t>Two low-noise amplifiers fabricated with 100-nm gate length gallium nitride (GaN)-on-silicon process in W-band are presented in this work. One has a gain of 17.5-20.5 dB in 77.5-84 GHz with 3.8-4.7-dB noise figure (NF), the other has wider bandwidth of 78.5-90 GHz with 14.5-17-dB gain and 4.5-5.2-dB NF. The chip sizes of these two low-noise amplifiers (LNAs) are 3x1.6 mm² and 3x1.4 mm² separately. The power dissipation of these two LNAs is about 190 mW. These LNAs can be integrated with high-power GaN power amplifier on the same chip, which avoids the peripheral packaging loss and achieves smaller module size. The universal gate length in commercial process with low-cost silicon substrate brings these LNAs great potential for mass production in future millimeter-wave communications.</t>
  </si>
  <si>
    <t>https://ieeexplore.ieee.org/document/9189934</t>
  </si>
  <si>
    <t>https://ieeexplore.ieee.org/stamp/stamp.jsp?tp=&amp;arnumber=8621028</t>
  </si>
  <si>
    <t>https://ieeexplore.ieee.org/stamp/stamp.jsp?tp=&amp;arnumber=6242326</t>
  </si>
  <si>
    <t>https://ieeexplore.ieee.org/stamp/stamp.jsp?tp=&amp;arnumber=1339093</t>
  </si>
  <si>
    <t>https://ieeexplore.ieee.org/stamp/stamp.jsp?tp=&amp;arnumber=4015328</t>
  </si>
  <si>
    <t>https://ieeexplore.ieee.org/stamp/stamp.jsp?tp=&amp;arnumber=5165813</t>
  </si>
  <si>
    <t>https://ieeexplore.ieee.org/stamp/stamp.jsp?tp=&amp;arnumber=5165785</t>
  </si>
  <si>
    <t>https://ieeexplore.ieee.org/stamp/stamp.jsp?tp=&amp;arnumber=5518253</t>
  </si>
  <si>
    <t>https://ieeexplore.ieee.org/stamp/stamp.jsp?tp=&amp;arnumber=5972761</t>
  </si>
  <si>
    <t>https://ieeexplore.ieee.org/stamp/stamp.jsp?tp=&amp;arnumber=6259470</t>
  </si>
  <si>
    <t>https://ieeexplore.ieee.org/stamp/stamp.jsp?tp=&amp;arnumber=6259764</t>
  </si>
  <si>
    <t>https://ieeexplore.ieee.org/stamp/stamp.jsp?tp=&amp;arnumber=6697551</t>
  </si>
  <si>
    <t>https://ieeexplore.ieee.org/stamp/stamp.jsp?tp=&amp;arnumber=7166766</t>
  </si>
  <si>
    <t>https://ieeexplore.ieee.org/stamp/stamp.jsp?tp=&amp;arnumber=7540307</t>
  </si>
  <si>
    <t>https://ieeexplore.ieee.org/stamp/stamp.jsp?tp=&amp;arnumber=8058796</t>
  </si>
  <si>
    <t>https://ieeexplore.ieee.org/stamp/stamp.jsp?tp=&amp;arnumber=8439698</t>
  </si>
  <si>
    <t>https://ieeexplore.ieee.org/stamp/stamp.jsp?tp=&amp;arnumber=1303660</t>
  </si>
  <si>
    <t>https://ieeexplore.ieee.org/stamp/stamp.jsp?tp=&amp;arnumber=4804612</t>
  </si>
  <si>
    <t>https://ieeexplore.ieee.org/stamp/stamp.jsp?tp=&amp;arnumber=5339110</t>
  </si>
  <si>
    <t>https://ieeexplore.ieee.org/stamp/stamp.jsp?tp=&amp;arnumber=5557753</t>
  </si>
  <si>
    <t>https://ieeexplore.ieee.org/stamp/stamp.jsp?tp=&amp;arnumber=6910321</t>
  </si>
  <si>
    <t>https://ieeexplore.ieee.org/stamp/stamp.jsp?tp=&amp;arnumber=860876</t>
  </si>
  <si>
    <t>https://ieeexplore.ieee.org/stamp/stamp.jsp?tp=&amp;arnumber=863522</t>
  </si>
  <si>
    <t>https://ieeexplore.ieee.org/stamp/stamp.jsp?tp=&amp;arnumber=4015031</t>
  </si>
  <si>
    <t>https://ieeexplore.ieee.org/stamp/stamp.jsp?tp=&amp;arnumber=4014824</t>
  </si>
  <si>
    <t>https://ieeexplore.ieee.org/stamp/stamp.jsp?tp=&amp;arnumber=4014823</t>
  </si>
  <si>
    <t>https://ieeexplore.ieee.org/stamp/stamp.jsp?tp=&amp;arnumber=5514771&amp;tag=1</t>
  </si>
  <si>
    <t>https://ieeexplore.ieee.org/stamp/stamp.jsp?tp=&amp;arnumber=6848249</t>
  </si>
  <si>
    <t>https://ieeexplore.ieee.org/stamp/stamp.jsp?tp=&amp;arnumber=7540344</t>
  </si>
  <si>
    <t>https://ieeexplore.ieee.org/stamp/stamp.jsp?tp=&amp;arnumber=4408589</t>
  </si>
  <si>
    <t>https://ieeexplore.ieee.org/stamp/stamp.jsp?tp=&amp;arnumber=5784355</t>
  </si>
  <si>
    <t>https://ieeexplore.ieee.org/stamp/stamp.jsp?tp=&amp;arnumber=7084690</t>
  </si>
  <si>
    <t>https://ieeexplore.ieee.org/stamp/stamp.jsp?tp=&amp;arnumber=7572055</t>
  </si>
  <si>
    <t>https://ieeexplore.ieee.org/stamp/stamp.jsp?tp=&amp;arnumber=7987031</t>
  </si>
  <si>
    <t>https://ieeexplore.ieee.org/stamp/stamp.jsp?tp=&amp;arnumber=1201803</t>
  </si>
  <si>
    <t>https://ieeexplore.ieee.org/stamp/stamp.jsp?tp=&amp;arnumber=1295149&amp;tag=1</t>
  </si>
  <si>
    <t>https://ieeexplore.ieee.org/stamp/stamp.jsp?tp=&amp;arnumber=1440723&amp;tag=1</t>
  </si>
  <si>
    <t>https://ieeexplore.ieee.org/stamp/stamp.jsp?tp=&amp;arnumber=5256975</t>
  </si>
  <si>
    <t>https://ieeexplore.ieee.org/stamp/stamp.jsp?tp=&amp;arnumber=4633200&amp;tag=1</t>
  </si>
  <si>
    <t>https://ieeexplore.ieee.org/stamp/stamp.jsp?tp=&amp;arnumber=5165788</t>
  </si>
  <si>
    <t>https://ieeexplore.ieee.org/stamp/stamp.jsp?tp=&amp;arnumber=6259542</t>
  </si>
  <si>
    <t>https://ieeexplore.ieee.org/stamp/stamp.jsp?tp=&amp;arnumber=6259592</t>
  </si>
  <si>
    <t>https://ieeexplore.ieee.org/stamp/stamp.jsp?tp=&amp;arnumber=6697674</t>
  </si>
  <si>
    <t>https://ieeexplore.ieee.org/stamp/stamp.jsp?tp=&amp;arnumber=6697595</t>
  </si>
  <si>
    <t>https://ieeexplore.ieee.org/stamp/stamp.jsp?tp=&amp;arnumber=8059049</t>
  </si>
  <si>
    <t>https://ieeexplore.ieee.org/stamp/stamp.jsp?tp=&amp;arnumber=8058926</t>
  </si>
  <si>
    <t>https://ieeexplore.ieee.org/stamp/stamp.jsp?tp=&amp;arnumber=8058937&amp;tag=1</t>
  </si>
  <si>
    <t>https://ieeexplore.ieee.org/stamp/stamp.jsp?tp=&amp;arnumber=8058959</t>
  </si>
  <si>
    <t>https://ieeexplore.ieee.org/stamp/stamp.jsp?tp=&amp;arnumber=8058948</t>
  </si>
  <si>
    <t>https://ieeexplore.ieee.org/stamp/stamp.jsp?tp=&amp;arnumber=8058981</t>
  </si>
  <si>
    <t>https://ieeexplore.ieee.org/stamp/stamp.jsp?tp=&amp;arnumber=8059051</t>
  </si>
  <si>
    <t>https://ieeexplore.ieee.org/stamp/stamp.jsp?tp=&amp;arnumber=8439505</t>
  </si>
  <si>
    <t>https://ieeexplore.ieee.org/stamp/stamp.jsp?tp=&amp;arnumber=8439685</t>
  </si>
  <si>
    <t>https://ieeexplore.ieee.org/stamp/stamp.jsp?tp=&amp;arnumber=8701100</t>
  </si>
  <si>
    <t>https://ieeexplore.ieee.org/stamp/stamp.jsp?tp=&amp;arnumber=1187393</t>
  </si>
  <si>
    <t>https://ieeexplore.ieee.org/stamp/stamp.jsp?tp=&amp;arnumber=4982544</t>
  </si>
  <si>
    <t>https://ieeexplore.ieee.org/stamp/stamp.jsp?tp=&amp;arnumber=5565367</t>
  </si>
  <si>
    <t>https://ieeexplore.ieee.org/stamp/stamp.jsp?tp=&amp;arnumber=6035997</t>
  </si>
  <si>
    <t>https://ieeexplore.ieee.org/stamp/stamp.jsp?tp=&amp;arnumber=6157651</t>
  </si>
  <si>
    <t>https://ieeexplore.ieee.org/stamp/stamp.jsp?tp=&amp;arnumber=6964816</t>
  </si>
  <si>
    <t>https://ieeexplore.ieee.org/stamp/stamp.jsp?tp=&amp;arnumber=8708938</t>
  </si>
  <si>
    <t>https://ieeexplore.ieee.org/stamp/stamp.jsp?tp=&amp;arnumber=860875</t>
  </si>
  <si>
    <t>https://ieeexplore.ieee.org/stamp/stamp.jsp?tp=&amp;arnumber=1011550</t>
  </si>
  <si>
    <t>https://ieeexplore.ieee.org/stamp/stamp.jsp?tp=&amp;arnumber=1011816</t>
  </si>
  <si>
    <t>https://ieeexplore.ieee.org/stamp/stamp.jsp?tp=&amp;arnumber=1012122</t>
  </si>
  <si>
    <t>https://ieeexplore.ieee.org/stamp/stamp.jsp?tp=&amp;arnumber=1012191</t>
  </si>
  <si>
    <t>https://ieeexplore.ieee.org/stamp/stamp.jsp?tp=&amp;arnumber=1012192</t>
  </si>
  <si>
    <t>https://ieeexplore.ieee.org/stamp/stamp.jsp?tp=&amp;arnumber=1210438</t>
  </si>
  <si>
    <t>https://ieeexplore.ieee.org/stamp/stamp.jsp?tp=&amp;arnumber=1210439</t>
  </si>
  <si>
    <t>https://ieeexplore.ieee.org/stamp/stamp.jsp?tp=&amp;arnumber=1210607</t>
  </si>
  <si>
    <t>https://ieeexplore.ieee.org/stamp/stamp.jsp?tp=&amp;arnumber=1211058</t>
  </si>
  <si>
    <t>https://ieeexplore.ieee.org/stamp/stamp.jsp?tp=&amp;arnumber=1336039</t>
  </si>
  <si>
    <t>https://ieeexplore.ieee.org/stamp/stamp.jsp?tp=&amp;arnumber=1335827</t>
  </si>
  <si>
    <t>https://ieeexplore.ieee.org/stamp/stamp.jsp?tp=&amp;arnumber=1517154</t>
  </si>
  <si>
    <t>https://ieeexplore.ieee.org/stamp/stamp.jsp?tp=&amp;arnumber=4015329</t>
  </si>
  <si>
    <t>https://ieeexplore.ieee.org/stamp/stamp.jsp?tp=&amp;arnumber=4014822</t>
  </si>
  <si>
    <t>https://ieeexplore.ieee.org/stamp/stamp.jsp?tp=&amp;arnumber=4263820</t>
  </si>
  <si>
    <t>https://ieeexplore.ieee.org/stamp/stamp.jsp?tp=&amp;arnumber=4633071</t>
  </si>
  <si>
    <t>https://ieeexplore.ieee.org/stamp/stamp.jsp?tp=&amp;arnumber=5972958</t>
  </si>
  <si>
    <t>https://ieeexplore.ieee.org/stamp/stamp.jsp?tp=&amp;arnumber=6259443</t>
  </si>
  <si>
    <t>https://ieeexplore.ieee.org/stamp/stamp.jsp?tp=&amp;arnumber=6259517</t>
  </si>
  <si>
    <t>https://ieeexplore.ieee.org/stamp/stamp.jsp?tp=&amp;arnumber=6697362</t>
  </si>
  <si>
    <t>https://ieeexplore.ieee.org/stamp/stamp.jsp?tp=&amp;arnumber=6848255</t>
  </si>
  <si>
    <t>https://ieeexplore.ieee.org/stamp/stamp.jsp?tp=&amp;arnumber=6848322</t>
  </si>
  <si>
    <t>https://ieeexplore.ieee.org/stamp/stamp.jsp?tp=&amp;arnumber=6848521</t>
  </si>
  <si>
    <t>https://ieeexplore.ieee.org/stamp/stamp.jsp?tp=&amp;arnumber=6848288</t>
  </si>
  <si>
    <t>https://ieeexplore.ieee.org/stamp/stamp.jsp?tp=&amp;arnumber=6848456</t>
  </si>
  <si>
    <t>https://ieeexplore.ieee.org/stamp/stamp.jsp?tp=&amp;arnumber=8058686</t>
  </si>
  <si>
    <t>https://ieeexplore.ieee.org/stamp/stamp.jsp?tp=&amp;arnumber=8058685</t>
  </si>
  <si>
    <t>https://ieeexplore.ieee.org/stamp/stamp.jsp?tp=&amp;arnumber=8058687</t>
  </si>
  <si>
    <t>https://ieeexplore.ieee.org/stamp/stamp.jsp?tp=&amp;arnumber=8059048</t>
  </si>
  <si>
    <t>https://ieeexplore.ieee.org/stamp/stamp.jsp?tp=&amp;arnumber=8058798</t>
  </si>
  <si>
    <t>https://ieeexplore.ieee.org/stamp/stamp.jsp?tp=&amp;arnumber=8439473</t>
  </si>
  <si>
    <t>https://ieeexplore.ieee.org/stamp/stamp.jsp?tp=&amp;arnumber=8700792</t>
  </si>
  <si>
    <t>https://ieeexplore.ieee.org/stamp/stamp.jsp?tp=&amp;arnumber=1031930</t>
  </si>
  <si>
    <t>https://ieeexplore.ieee.org/stamp/stamp.jsp?tp=&amp;arnumber=1291449</t>
  </si>
  <si>
    <t>https://ieeexplore.ieee.org/stamp/stamp.jsp?tp=&amp;arnumber=1416930</t>
  </si>
  <si>
    <t>https://ieeexplore.ieee.org/stamp/stamp.jsp?tp=&amp;arnumber=1427729</t>
  </si>
  <si>
    <t>https://ieeexplore.ieee.org/stamp/stamp.jsp?tp=&amp;arnumber=1561312</t>
  </si>
  <si>
    <t>https://ieeexplore.ieee.org/stamp/stamp.jsp?tp=&amp;arnumber=4141075</t>
  </si>
  <si>
    <t>https://ieeexplore.ieee.org/stamp/stamp.jsp?tp=&amp;arnumber=5483110</t>
  </si>
  <si>
    <t>https://ieeexplore.ieee.org/stamp/stamp.jsp?tp=&amp;arnumber=5617295</t>
  </si>
  <si>
    <t>https://ieeexplore.ieee.org/stamp/stamp.jsp?tp=&amp;arnumber=6568983</t>
  </si>
  <si>
    <t>https://ieeexplore.ieee.org/stamp/stamp.jsp?tp=&amp;arnumber=7161404</t>
  </si>
  <si>
    <t>https://ieeexplore.ieee.org/stamp/stamp.jsp?tp=&amp;arnumber=7576663</t>
  </si>
  <si>
    <t>https://ieeexplore.ieee.org/stamp/stamp.jsp?tp=&amp;arnumber=8447259</t>
  </si>
  <si>
    <t>https://ieeexplore.ieee.org/stamp/stamp.jsp?tp=&amp;arnumber=8528378</t>
  </si>
  <si>
    <t>https://ieeexplore.ieee.org/stamp/stamp.jsp?tp=&amp;arnumber=8689097</t>
  </si>
  <si>
    <t>GaN</t>
  </si>
  <si>
    <t xml:space="preserve">For more information on the CMOS FOM used in this spreadsheet please see: </t>
  </si>
  <si>
    <t>L. Belostotski and S. Jagtap, "Down With Noise: An Introduction to a Low-Noise Amplifier Survey," in IEEE Solid-State Circuits Magazine, vol. 12, no. 2, pp. 23-29, Spring 2020, doi: 10.1109/MSSC.2020.2987505.</t>
  </si>
  <si>
    <t>March 24, 2020:</t>
  </si>
  <si>
    <t>Updated missing bandwidths for CMOS circuits</t>
  </si>
  <si>
    <t>Updated data to this date.</t>
  </si>
  <si>
    <t>LNAs are subdivided into groups by technology. In addition cryogenic LNAs are also assembled in a separate spreadsheet</t>
  </si>
  <si>
    <t>Dec. 1, 2020</t>
  </si>
  <si>
    <t>IP1dB [dBm]</t>
  </si>
  <si>
    <t>This article presents an E-band low-noise amplifier (LNA) co-designed and co-integrated with an on-chip multi-feed antenna for antenna-level LNA noise-canceling and gm -boosting. Different from conventional approaches that view antennas as a simple 50- Ω radiation load, we exploit antennas as multi-feed passive radiating networks with direct on-antenna signal conditioning and processing capabilities. Such an antenna-electronics co-design concept can potentially advance wireless front-end performance beyond electronics-only designs and opens the door to a plethora of front-end innovations. We also propose equivalent circuits to model multi-feed antenna systems and elucidate on-antenna signal processing operations. As a proof of concept, we propose an antenna-LNA co-designed architecture and explore the interactions among a common-gate (CG) LNA path, a common-source (CS) LNA path, and a pair of near-field coupled folded slot antennas for on-antenna noise-cancellation and gm -boosting. In the measurements, a true Y-factor radiation method is introduced as a new approach to measure the noise figure (NF) of the on-chip multi-feed antenna and LNA/RX integration. Then, we perform the conventional sensitivity-based NF measurement. Both measurements show accurate and consistent NF characterization at high millimeter-wave (mm-Wave). The E-band antenna-LNA front end is implemented in the Globalfoundries 45-nm CMOS SOI process and demonstrates 4.8-dB NF with 2.2-dBm IIP 3 , achieving the best reported FoM at similar frequencies. Furthermore, over-the-air modulation tests are demonstrated, supporting &gt; 10-Gb/s high-fidelity high-order QAM signals over an E-band wireless link.</t>
  </si>
  <si>
    <t>Sensen Li; Taiyun Chi; Hua Wang</t>
  </si>
  <si>
    <t>Multi-Feed Antenna and Electronics Co-Design: An E-Band Antenna-LNA Front End With On-Antenna Noise-Canceling and Gm-Boosting</t>
  </si>
  <si>
    <t xml:space="preserve">Only papers identified by IEEExplore when searching for "Low noise amplifier" are included and, starting in Dec. 2020, only when LNA performance in a receiver is clearly visible from the information in the paper. </t>
  </si>
  <si>
    <t>D-band Phased-Array TX and RX Front Ends Utilizing Radio-on-Glass Technology</t>
  </si>
  <si>
    <t>Mohamed Elkhouly, Michael J. Holyoak, David Hendry, Mike Zierdt, Amit Singh, Mustafa Sayginer,Shahriar Shahramian, Yves Baeyens</t>
  </si>
  <si>
    <t>This paper reports wide-band TX and RX phased-array front ends for D-band (130-170 GHz), implemented in 0.13 μm SiGe BiCMOS process with f T /f max of 300/500 GHz. The TX front end consists of a wide-band vector-modulator phase shifter followed by a PA. The TX yields an output P 1dB of 10 dBm and a total gain of 16 dB. The RX consists of an LNA, wide-band vector-modulator and a buffer stage. It exhibits a gain of 22 dB and a noise figure of 10 dB. A glass interposer is designed with 8 flip-chip TX/RX front ends and an integrated 8x16 slot antenna array, forming a radio-on-glass (RoG) D-band phased-array module.</t>
  </si>
  <si>
    <t>60 GHz variable Gain &amp; Linearity Enhancement LNAin 65 nm CMOS</t>
  </si>
  <si>
    <t>David Bierbuesse, Renato Negra</t>
  </si>
  <si>
    <t>This  paper  reports  on  the  design  of  a  60  GHzlow-noise  amplifier  (LNA)  with  a  linear  and  power  efficientgain   tuning   mechanism   in   a   65   nm   CMOS   process.   Thetransformer-based  (TF)  matching  topology  enables  a  compactLNA   design   which   requires   a   total   chip   area   of   0.26   mm2including  all  probing  pads.  The  designed  LNA  has  a  maximumgain of 25 dB with a 3-dB bandwidth of 8 GHz and a minimummeasured noise figure (NF) of 4.8 dB. By means of the proposedgain  tuning  concept,  a  tuning  range  of  17  dB  with  an  inputreferred   1-dB   compression   point,P1dB,   of   -7   dBm   can   beachieved.  The  power  consumption  is  adapted  to  the  LNA  gainand  ranges  from  26  mW  to  47  mW.</t>
  </si>
  <si>
    <t>A SiGe Millimeter-Wave Front-End for Remote Sensing and Imaging</t>
  </si>
  <si>
    <t>Milad Frounchi; John D. Cressler</t>
  </si>
  <si>
    <t>This work presents the co-design of a millimeter-wave (mm-wave) switch with a low-noise amplifier (LNA), in which the front-end switch incorporates a transformer-based topology and serves as the LNA input matching network. This mm-wave front-end is implemented in a 0.13μm SiGe BiCMOS technology and achieves a peak gain of 20.1dB, a minimum noise figure of 4.5dB, and a mean isolation of 17dB. The input reflection coefficient is less than -15dB over 45-70GHz. An avalanche noise source using a diode-configured SiGe HBT is also integrated in the front-end for two-reference on-chip calibration, which can provide up to a high excess noise ratio of 25dB. The LNA consumes a DC power of 15 mW and occupies a chip area of 0.6 mm 2 . To the best of our knowledge, this is the lowest reported noise figure of an integrated switch and LNA at V-band frequencies and is the first monolithic two-reference calibrating mm-wave SiGe radiometer front-end.</t>
  </si>
  <si>
    <t>A 28 GHz front-end module with T/R switch achieving 17.2 dBm Psat, 21.5% PAEmax and 3.2 dB NF in 22 nm FD-SOI for 5G communication</t>
  </si>
  <si>
    <t>Yao Liu, Xinyan Tang, Giovanni Mangraviti, Khaled Khalaf, Yang Zhang, Wei-Min Wu,Hung Chen, Björn Debaillie, Piet Wambacq</t>
  </si>
  <si>
    <t>A 28 GHz front-end module (FEM) for 5G communication is implemented in 22 nm FD-SOI technology. Competitive performance for both TX and RX modes is achieved simultaneously with robustness in TX mode and ESD protection. The key for these features is the transmit/receive (T/R) switch incorporating PA circuitry, offering high linearity and robustness in TX mode, low NF in RX mode, and ESD-protection capability. The PA output stage uses a 3-stacked-FET topology to achieve high output power. Several matching techniques are implemented to equally distribute the large output voltage swing among the three stacked FETs. P sat and PAE max in TX mode are 17.2 dBm and 21.5%, respectively. NF and IIP 3 in RX mode are 3.2 dB and -5.4 dBm, respectively. With a 100 MHz bandwidth 256-QAM single-carrier signal the FEM achieves an EVM of -30 dB with average output power of 10.1 dBm and average PAE of 8.3 %. The reliability of the FEM in TX mode is assessed, demonstrating the robustness of the FEM. The ESD measurement of the FEM shows 2 kV human-body-model (HBM) ESD protection.</t>
  </si>
  <si>
    <t>A CMOS Ka-Band SATCOM Transceiver with ACI-Cancellation Enhanced Dual-Channel Low-NF Wide-Dynamic-Range RX and High-Linearity TX</t>
  </si>
  <si>
    <t>Yun Wang1, Dongwon You1,XiFu1, Takeshi Nakamura1, Ashbir Aviat Fadila1, Teruki Someya1,Atsuhiro Kawaguchi1, Jian Pang1, Kiyoshi Yanagisawa1, Bangan Liu1, Yuncheng Zhang1,Haosheng Zhang1, Rui Wu1, Atsushi Shirane1, Shunichiro Masaki2, Daisuke Yamazaki2,Kenichi Okada</t>
  </si>
  <si>
    <t>This paper presents the first Ka-band satellite communication (SATCOM) transceiver in standard CMOS technology. The proposed Ka-band SATCOM transceiver is based on direct-conversion architecture with high-linearity TX and dual-channel multi-mode RX, which is designed for a earth ground platform communicating with Geostationary (GEO) and low Earth orbit (LEO) satellites. The dual-channel RX enables multiple duplexing modes, which are polarization duplexing and frequency duplexing. In the receiver, both the RF path and the baseband path provide variable gain for a wider dynamic range. The LNA employs dual-coupling transformer for low noise figure and wideband input matching. An adjacent channel interference (ACI) cancellation scheme is proposed to further enhance the RX dynamic range in frequency duplexing mode. In the transmitter single-turn high-quality-factor transformer is employed to realize matching network and four-way power combining. A prototype of the SATCOM transceiver is fabricated in a standard 65-nm CMOS process. Under 1.05 V supply voltage, the transmitter achieves a P SAT of 19 dBm and an average output power of 10.6 dBm with 2 % EVM and 42.9 dB ACPR. The dual channel receiver achieves a single-sideband NF of 5.0 dB, IIP3 of 0.2 dBm and with a 10.4 dB ACI suppression</t>
  </si>
  <si>
    <t>A wide-band RF Front-end module for 5G mMIMO applications</t>
  </si>
  <si>
    <t xml:space="preserve">Mike Fraser, Venkata N.K Malladi, Joseph Staudinger, Chun-Wei Chang </t>
  </si>
  <si>
    <t>This paper presents a 2-5 GHz mMIMO RF front-end module that includes an RF switch followed by two stages of low-noise amplifiers (LNA). The switch and LNAs are designed in 0.25um GaAs technology as two ICs, placed in a multi-chip module (MCM) and housed in a LGA package. The FEM achieves 47 dBm peak power handling in failsafe (FS)/TX mode, 1.35 dB noise figure, 31.5 dBm OIP3 and 17 dBm P1dB at 3.5 GHz. It also achieves a switching speed of 230 ns when tested with a very low frequency (1 KHz) toggle signal, a typical requirement on these FEMs. The excellent switching speed is accomplished through the use of a new time-adaptive bias technique to overcome interface trap charging inherent to the GaAs substrate. The RX module achieves the lowest reported noise figure &amp; switching time while achieving high peak power handling in the FS mode operation.</t>
  </si>
  <si>
    <t>A 5-6 GHz Low-Noise Amplifier with &gt; 65-dB Variable-Gain Control in 22nm FinFET CMOS Technology</t>
  </si>
  <si>
    <t>A 1.2 V, 5.5 GHz Low-Noise Amplifier with 60 dB On-Chip Selectivity for Uplink Carrier Aggregation and 1.3 dB NF</t>
  </si>
  <si>
    <t>Daniel Schrögendorfer; Thomas Leitner</t>
  </si>
  <si>
    <t>This paper presents a low-noise amplifier (LNA) with a passive and switchable 8th-order bandstop filter to enable high on-chip selectivity for inter-band uplink carrier aggregation (UL CA) applications. It is fabricated using a 60-nm RF SOI CMOS technology. The LNA uses a broadband output stage with current reuse topology which enables a reduced in-band gain variation, high voltage gain and minimized chip area. Based on using on-chip matching and filtering elements, a noise figure (NF) of only 1.3 dB in filter off-state and 1.9 dB in filter on-state respectively, along with a high filter attenuation between 1.7 GHz and 2.7 GHz to fulfill all linearity requirements for UL CA applications are achieved. All RF and DC ports are ESD-protected. The power consumption of the chip is only 6 mW using a 1.2 V supply voltage, which enables future RF front-end requirements.</t>
  </si>
  <si>
    <t>Yi-Shin Yeh; Hyung-Jin Lee</t>
  </si>
  <si>
    <t>This paper presents a 5-6 GHz fully-differential low-noise amplifier in 22-nm FinFET Low-Power CMOS technology. To achieve wide gain control, the three-stage LNA consists of a Tee-type RF attenuator and a current-steering variable-gain amplifier. Three-winding transformers are implemented for input and inter-stage matching to achieve simultaneous noise and power matching. The three-stage LNA provides 30.5-dB gain, 1.9-dB minimum noise figure, -29.2-dBm IP 1dB and -19.9-dBm IIP 3 at 5.7 GHz, and &gt; 65-dB gain-control range with the total DC power consumption of 39 mW at 1-V supply voltage.</t>
  </si>
  <si>
    <t>https://ieeexplore.ieee.org/document/9218439</t>
  </si>
  <si>
    <t>A 0.08mm2 1-6.2 GHz Receiver Front-End with Inverter-Based Shunt-Feedback Balun-LNA</t>
  </si>
  <si>
    <t>Benqing Guo; Dario Prevedelli; Rinaldo Castello; Danilo Manstretta</t>
  </si>
  <si>
    <t>An inverter-based active feedback CMOS LNA with balun function is within a direct converter receiver. The LNA has three gain stages. The Multi-gated transistor (MGTR) technique is employed to null the third-order distortion of the last two gain stages while complementary configurations are used to compensate second-order nonlinearity in all stages. The complete direct-conversion receiver was fabricated in 28nm CMOS. Measurement results indicate that the integrated receiver provides a minimum NF of 3.4 dB, and a maximum gain of 48.2 dB from 1 to 6 GHz. The in-band and out-of-band IIP3 are -10 dBm and -4 dBm, respectively. The receiver dissipates 22.2 mW at 5 GHz LO frequency and occupies an area of 0.08 mm 2 .</t>
  </si>
  <si>
    <t>https://ieeexplore.ieee.org/document/9218307</t>
  </si>
  <si>
    <t>A 1 mW Cryogenic LNA Exploiting Optimized SiGe HBTs to Achieve an Average Noise Temperature of 3.2 K from 4–8 GHz</t>
  </si>
  <si>
    <t>Wei-Ting Wong; Mohsen Hosseini; Holger Rücker; Joseph C. Bardin</t>
  </si>
  <si>
    <r>
      <t xml:space="preserve">Low-power cryogenic LNAs are required for readout of fault-tolerant quantum processors, which may have a million or more qubits. While InP HEMT LNAs are used for qubit readout today, SiGe HBTs are attractive for future systems due to their excellent noise and potential for low power operation. Here, we optimize a high performance SiGe technology to further improve its cryogenic noise properties. After extracting simulation models from standard and optimized HBT test structures, we employ these transistors in cryogenic LNAs and show that the cryogenic noise achieved with the optimized transistor is significantly better than that achieved using the standard device. Moreover, while dissipating just 1mW, the amplifier using the optimized HBT had an average measured T </t>
    </r>
    <r>
      <rPr>
        <vertAlign val="subscript"/>
        <sz val="11"/>
        <color theme="1"/>
        <rFont val="Calibri"/>
        <family val="2"/>
        <scheme val="minor"/>
      </rPr>
      <t>e</t>
    </r>
    <r>
      <rPr>
        <sz val="11"/>
        <color theme="1"/>
        <rFont val="Calibri"/>
        <family val="2"/>
        <scheme val="minor"/>
      </rPr>
      <t xml:space="preserve"> of 3.2 K from 4-8 GHz, which is more than 2 × better than the previous state-of-the-art SiGe LNA operating in this band.</t>
    </r>
  </si>
  <si>
    <t>https://ieeexplore.ieee.org/document/9224049</t>
  </si>
  <si>
    <t>Cryogenic W-Band SiGe BiCMOS Low-Noise Amplifier</t>
  </si>
  <si>
    <t>Mikko Varonen; Nima Sheikhipoor; Bekari Gabritchidze; Kieran Cleary; Henrik Forstén; Holger Rücker; Mehmet Kaynak</t>
  </si>
  <si>
    <t>In this paper we present the design, modeling, and on-wafer measurement results of an ultra- wideband cryogenically cooled SiGe low-noise amplifier covering at least 71 to 116 GHz. When cryogenically cooled to 20 K and measured on wafer the SiGe amplifier shows 95-116-K noise temperature from 77 to 116 GHz. This means 6 to 7 times improvement in noise temperature compared to room temperature noise. The measured gain is around 20 dB for frequency range of 71 to 116 GHz with unprecedented low power consumption of 2.8 mW. To the best of authors' knowledge, this is the highest frequency cryogenic SiGe low-noise amplifier and lowest noise performance for silicon amplifiers for W-band renorted to date.</t>
  </si>
  <si>
    <t>https://ieeexplore.ieee.org/document/9223922</t>
  </si>
  <si>
    <t>X- to Ka- Band Cryogenic LNA Module for Very Long Baseline Interferometry</t>
  </si>
  <si>
    <t>We report a new result of a packaged low noise amplifier (LNA) module with wide bandwidth of 5 to 35 GHz and low noise temperature performance of 10 -18 K, while operated at 10 K ambient. The LNA used 3-stages of sub-50 nm gate length, 100% indium channel content indium phosphide (InP) high electron mobility transistors (HEMTs). Wideband cryogenic LNAs are important for future radio astronomy observatories. To our knowledge these results represent the lowest noise achieved in a wideband amplifier from 5-35 GHz.</t>
  </si>
  <si>
    <t>InP</t>
  </si>
  <si>
    <t>Andy Fung; Lorene Samoska; James Bowen; Steven Montanez; Jacob Kooi; Melissa Soriano; Christopher Jacobs;  Raju Manthena1, Daniel Hoppe1, Ahmed Akgiray2, Richard Lai3, Xiaobing Mei3, Michael Barsky</t>
  </si>
  <si>
    <t>https://ieeexplore.ieee.org/document/9224106</t>
  </si>
  <si>
    <t>A 125.5-157 GHz 8 dB NF and 16 dB of Gain D-band Low Noise Amplifier in CMOS SOI 45 nm</t>
  </si>
  <si>
    <t>Abdelaziz Hamani; Alexandre Siligaris; Benjamin Blampey; Cedric Dehos; Jose Luis Gonzalez Jimenez</t>
  </si>
  <si>
    <r>
      <t xml:space="preserve">In this paper, a D-band millimeter-wave low noise amplifier circuit in CMOS SOI 45 nm technology is presented. It achieves 8 dB of noise figure and 16 dB of gain with a 3-dB bandwidth of 31.5 GHz (125.5-157 GHz). It is composed of four stages of capacitively neutralized differential common-source cells cascaded using integrated mm-wave transformers to achieve high gain and large bandwidth. It consumes 75 mW from a 1-V voltage supply, and occupies a compact active area of 0.07 mm </t>
    </r>
    <r>
      <rPr>
        <vertAlign val="superscript"/>
        <sz val="11"/>
        <color theme="1"/>
        <rFont val="Calibri"/>
        <family val="2"/>
        <scheme val="minor"/>
      </rPr>
      <t>2</t>
    </r>
    <r>
      <rPr>
        <sz val="11"/>
        <color theme="1"/>
        <rFont val="Calibri"/>
        <family val="2"/>
        <scheme val="minor"/>
      </rPr>
      <t xml:space="preserve"> .</t>
    </r>
  </si>
  <si>
    <t>https://ieeexplore.ieee.org/document/9224114</t>
  </si>
  <si>
    <t>A 6.5-12 GHz Balanced Variable Gain Low-Noise Amplifier with Frequency-Selective Non-Foster Gain Equalization Technique</t>
  </si>
  <si>
    <t>Huiyan Gao; Nayu Li; Min Li; Shaogang Wang; Zijiang Zhang; Yen-Cheng Kuan; Xiaopeng Yu; Qun Jane Gu; Zhiwei Xu</t>
  </si>
  <si>
    <t>This paper presents a wideband balanced variable-gain low-noise amplifier (VGLNA) implemented in a 55-nm CMOS process. A frequency-selective non-foster gain equalization technique is proposed to compensate the gain variation of interstage dual-resonant tanks. This VGLNA leverages current-steering technique to realize a phase-invariant 18-dB tunable gain range with a measured input 1-dB gain compression point (IP1dB) at 9 GHz from -12.2 dBm to -5 dBm. The LNA achieves a maximum power gain of 20.2 dB with ±0.5 dB gain variation and a minimum noise figure (NF) of 3.26 dB from 6.5 to 12 GHz. Owing to lumped Lange couplers, the input and output matching are both better than -14 dB. This chip occupies 1.44 mm × 0.68 mm area without pads and consumes 75 mW.</t>
  </si>
  <si>
    <t>https://ieeexplore.ieee.org/document/9223868</t>
  </si>
  <si>
    <t>A CMOS Band-Pass Low Noise Amplifier with Excellent Gain Flatness for mm-Wave 5G Communications</t>
  </si>
  <si>
    <t>Han-Woong Choi; Sunkyu Choi; Choul-Young Kim</t>
  </si>
  <si>
    <t>This paper presents a two-stage 24-32 GHz low-noise amplifier (LNA) with excellent gain flatness for wide bandwidth communication applications. A new band-pass type 2-stage common-source (CS) LNA configuration using the pole-tuning technique that actively exploits the parasitic capacitance of a CMOS device is proposed for bandwidth extension with low in-band gain variation. To demonstrate the feasibility of the proposed circuit configuration, a wideband LNA is implemented using a 65-nm CMOS process. The LNA shows a gain variation of ±0.19 dB in frequency band of 24 to 32 GHz with a peak gain of 18.64 dB and a noise figure of 2.27 dB while consuming 10.0 rnA from a 1V supply. The core circuit occupies an area of 0.23 × 0.43 mm 2 .</t>
  </si>
  <si>
    <t>https://ieeexplore.ieee.org/document/9224097</t>
  </si>
  <si>
    <t>A Tri (K/Ka/V)-Band Monolithic CMOS Low Noise Amplifier with Shared Signal Path and Variable Gains</t>
  </si>
  <si>
    <r>
      <t xml:space="preserve">This paper presents a single-signal-path tri-band (K/Ka/V) variable-gain low noise amplifier (LNA) fabricated in 28-nm bulk CMOS technology. This LNA uses a common-gate input stage with a triple-coupling transformer (TCT) to achieve better impedance matching across three desired bands than those of prior arts and to enable the necessary gm-boosting to suppress undesired noise. Each LNA stage (except the final one) is loaded with a PMOS switched inductor carefully designed to trade off parasitic capacitances/resistances between off/on states. PMOS devices are also used in parallel with switched inductors as variable resistors to realize the variable gain functionality. Accordingly, the load quality factors can be changed to make the LNA power gain adjustable. This LNA consists of six stages and offers variable power gains from -5.5 to 29.9 dB (24 GHz), -5.5 to 32.4 dB (33 GHz), and -11.5 to 22.2 dB (50 GHz) with respective minimum noise figures of 5.63 dB, 4.55 dB, and 5.96 dB. This LNA consumes 25.6 mW from a 1-V supply and occupies 0.22 mm </t>
    </r>
    <r>
      <rPr>
        <vertAlign val="superscript"/>
        <sz val="11"/>
        <color theme="1"/>
        <rFont val="Calibri"/>
        <family val="2"/>
        <scheme val="minor"/>
      </rPr>
      <t>2</t>
    </r>
    <r>
      <rPr>
        <sz val="11"/>
        <color theme="1"/>
        <rFont val="Calibri"/>
        <family val="2"/>
        <scheme val="minor"/>
      </rPr>
      <t xml:space="preserve"> without pads in silicon area.</t>
    </r>
  </si>
  <si>
    <t>https://ieeexplore.ieee.org/document/9223850</t>
  </si>
  <si>
    <t>(Tri band LNA)</t>
  </si>
  <si>
    <t>A 64.5-88 GHz Coupling-Concerned CMOS LNA with &gt;10 dB Gain and 5 dB Minimum NF</t>
  </si>
  <si>
    <t>Kaijuan Zhang; Chunqi Shi; Guangsheng Chen; Jinghong Chen; Runxi Zhang</t>
  </si>
  <si>
    <t>This paper presents a differential 64.5-88 GHz wideband low-noise amplifier (LNA) in a 55-nm CMOS technology. The LNA is consisted of two common-source (CS) stages and one cascode stage. To achieve a wide bandwidth (BW), an interstage coupling network scheme utilizing step-up transformers and co-optimizing the interstage transimpedance responses is developed. A new transformer-based dual-coupling (TBDC) gm-boosted topology is proposed to simultaneously achieve high gain and low noise. In addition, capacitive neutralization and common-gate-shorting (CGS) techniques are utilized to improve gain and stability. The LNA achieves a peak gain of 15 dB, a wideband gain of &gt;10 dB over 64.5-88 GHz, a S11 of &lt;; -10 dB over 60-90 GHz, and a minimum noise figure of 5 dB, while consuming 72.7 mW power. The input PldB is -12.2 dBm at 70 GHz and -12.8 dBm at 80 GHz, respectively.</t>
  </si>
  <si>
    <t>https://ieeexplore.ieee.org/document/9224000</t>
  </si>
  <si>
    <t>A 300-µW Cryogenic HEMT LNA for Quantum Computing</t>
  </si>
  <si>
    <t>Eunjung Cha; Niklas Wadefalk; Giuseppe Moschetti; Arsalan Pourkabirian; Jörgen Stenarson; Jan Grahn</t>
  </si>
  <si>
    <r>
      <t xml:space="preserve">This paper reports on ultra-low power 4-8 GHz (C-band) InP high-electron mobility transistor (HEMT) cryogenic low-noise amplifiers (LNAs) aimed for qubit amplification in quantum computing. We have investigated dc power dissipation in hybrid three-stage cryogenic LNAs using 100-nm gate length InP HEMTs with different indium content in the channel (65% and 80 </t>
    </r>
    <r>
      <rPr>
        <vertAlign val="superscript"/>
        <sz val="11"/>
        <color theme="1"/>
        <rFont val="Calibri"/>
        <family val="2"/>
        <scheme val="minor"/>
      </rPr>
      <t>%</t>
    </r>
    <r>
      <rPr>
        <sz val="11"/>
        <color theme="1"/>
        <rFont val="Calibri"/>
        <family val="2"/>
        <scheme val="minor"/>
      </rPr>
      <t xml:space="preserve"> ). The noise performance at 300 K was found to be comparable for both channel structures. At 5 K, an LNA with 65% indium channel exhibited significantly lower noise temperature at any dc power dissipation compared to the LNA with 80% indium channel. The LNA with 65% indium channel achieved an average noise of 3.2 K with 23 dB gain at an ultra-low power consumption of 300 μW. To the best of authors' knowledge, the LNA exhibited the lowest noise temperature to date for sub-milliwatt power cryogenic C-band LNAs.</t>
    </r>
  </si>
  <si>
    <t>https://ieeexplore.ieee.org/stamp/stamp.jsp?tp=&amp;arnumber=9223865</t>
  </si>
  <si>
    <t>06/2020</t>
  </si>
  <si>
    <t>V-Band GaAs Metamorphic Low-Noise Amplifier Design Technique for Sharp Gain Roll-Off at Lower Frequencies</t>
  </si>
  <si>
    <t>P. E. Longhi; L. Pace; S. Colangeli; W. Ciccognani; R. Leblanc; E. Limiti</t>
  </si>
  <si>
    <t>In this letter, we present the design of a V-band low-noise amplifier for intersatellite crosslink receivers. The test vehicle, realized on industrial metamorphic gallium arsenide technology, operates from 57 to 66 GHz exhibiting 23-dB gain and an average 1.8-dB noise figure. Particular attention was devoted to the analysis and synthesis of an alternative bias injection topology to obtain a sharp gain roll-off at lower frequencies, thus avoiding the insertion, at system level, of an image-reject filter.</t>
  </si>
  <si>
    <t>https://ieeexplore.ieee.org/document/9075977</t>
  </si>
  <si>
    <t>A 0.7-mW V-Band Transformer-Based Positive- Feedback Receiver Front-End in a 65-nm CMOS</t>
  </si>
  <si>
    <t>Yi-Hsien Lin; Shao-Cheng Hsiao; Jeng-Han Tsai; Tian-Wei Huang</t>
  </si>
  <si>
    <t>In this letter, we propose an ultralow-power transformer-based V-band receiver front-end using a 65-nm CMOS technology. Forward-body-bias and transformer-based positive-feedback topologies are utilized to enable its operation at a low drain bias of 0.3 V, while still ensuring its gain performance. A resistive ring mixer, with its advantage of zero-dc-power consumption, serves as the frequency down-converter of the system. The proposed receiver front-end demonstrates an 8.5-dB conversion gain and possesses the power-saving ability to use only 0.7 mW of dc-power consumption.</t>
  </si>
  <si>
    <t>https://ieeexplore.ieee.org/document/9082675</t>
  </si>
  <si>
    <t>08/2020</t>
  </si>
  <si>
    <t>A V-Band Miniaturized Bidirectional Switchless PALNA in SiGe:C BiCMOS Technology</t>
  </si>
  <si>
    <t>Ahmed Gadallah; Mohamed Hussein Eissa; Dietmar Kissinger; Andrea Malignaggi</t>
  </si>
  <si>
    <r>
      <t xml:space="preserve">This letter presents a V-band switchless bidirectional power amplifier-low noise amplifier (PALNA) in a SiGe:C 130-nm BiCMOS technology, featuring ft/fmax of 250/340 GHz. This bidirectional PALNA architecture avoids the use of lossy transmit-receive switches by introducing a proper matching network that insures a good isolation when the amplifier is OFF and satisfies the input-output matching requirements when the amplifier is on. On-wafer measurements show that the designed PALNA has a peak small-signal gain of 16.5 and 17 dB in the Tx mode and Rx mode, respectively, with a reverse isolation better than 40 dB while maintaining wideband performance over the desired band from 57 to 66 GHz. In the Rx mode, the simulated noise figure (NF) is 6.5 dB over the required band. Furthermore, a 1-dB compression point (OP1dB) of 11 dBm in the Tx mode and an input 1-dB compression point (IP1dB) of -20 dBm in the Rx mode have been achieved. The switchless PALNA occupies only 0.18 mm </t>
    </r>
    <r>
      <rPr>
        <vertAlign val="superscript"/>
        <sz val="11"/>
        <color theme="1"/>
        <rFont val="Calibri"/>
        <family val="2"/>
        <scheme val="minor"/>
      </rPr>
      <t>2</t>
    </r>
    <r>
      <rPr>
        <sz val="11"/>
        <color theme="1"/>
        <rFont val="Calibri"/>
        <family val="2"/>
        <scheme val="minor"/>
      </rPr>
      <t xml:space="preserve"> and consumes 130 and 36 mW in the Tx and Rx modes, respectively.</t>
    </r>
  </si>
  <si>
    <t>https://ieeexplore.ieee.org/document/9133190</t>
  </si>
  <si>
    <t>10/2020</t>
  </si>
  <si>
    <t>11/2020</t>
  </si>
  <si>
    <t>InGaAs MOSHEMT W-Band LNAs on Silicon and Gallium Arsenide Substrates</t>
  </si>
  <si>
    <t>Fabian Thome; Felix Heinz; Arnulf Leuther</t>
  </si>
  <si>
    <t>This letter presents the design, performance, and analysis of four low-noise amplifier (LNA) monolithic microwave integrated circuits (MMICs) operating in W -band. Two LNA designs were fabricated in two variations of a 20-nm gate-length metal–oxide–semiconductor high-electron-mobility transistor (MOSHEMT) technology each. While for the first technology version the heterostructure is directly grown on the final gallium arsenide (GaAs) wafer, the second version uses direct wafer bonding to transfer the III–V heterostructure after the epitaxial growth to a silicon (Si) substrate. Based on the measured noise figure (NF) of the four MMICs over a comprehensive set of bias conditions, the impact of short-channel effects on the RF performance and possible improvements are analyzed. The first LNA covers an octave bandwidth with more than 15 dB of gain and an average NF (75–105 GHz) of 3.5 dB on a Si substrate. At 80 GHz, the second amplifier exhibits minimal NFs of 2.3 and 2.5 dB on GaAs and Si substrates, respectively. Compared to previously reported MOS- or Si-based technologies, the presented LNAs demonstrate state-of-the-art noise performance emphasizing the importance of electron confinement for highly scaled transistor technologies.</t>
  </si>
  <si>
    <t>https://ieeexplore.ieee.org/document/9210826</t>
  </si>
  <si>
    <t>A K-Band High Interference-Rejection GaAs Low-Noise Amplifier Using Multizero Control Method for Satellite Communication</t>
  </si>
  <si>
    <t>Heng Xie; Yu Jian Cheng; Yong Fan</t>
  </si>
  <si>
    <t>This letter presents a 17.5–22.5-GHz low-noise amplifier (LNA) with the high out-of-band rejection in the range of 27.5–32.5 GHz and 4–10 GHz by using 90-nm GaAs p-HEMT technology. The multizero control method is proposed to produce multiple zeros for generating the high out-of-band rejection and expanding the rejection bandwidth. The multizero control is realized by bypass capacitor notch filters at the drain of transistors and shunt capacitor notch filters at the interstage matching circuits. By using this approach, the high rejection can be achieved at unwanted frequencies without additional devices. Also, the multizero control is mainly implemented in the transistor’s bypass branch, which can achieve the low noise figure (NF) well within the whole operating band. The cost and integration of the front end can also be improved. The measured maximum gain is 23.9 dB at 19 GHz, and the 3-dB bandwidth is 17.5–22.5 GHz. The good interference rejection of the proposed LNA is from 57 to 73 dB and 61 to 72 dB in the range of 4–10 GHz and 27.5–32.5 GHz, respectively. The measured NF is 1.1–1.3 dB. The LNA area is 2 mm ×1.3 mm including pads.</t>
  </si>
  <si>
    <t>https://ieeexplore.ieee.org/document/9214520</t>
  </si>
  <si>
    <t>An 18-56-GHz Wideband GaN Low-Noise Amplifier With 2.2-4.4-dB Noise Figure</t>
  </si>
  <si>
    <t>Xiaodong Tong; Liang Zhang; Penghui Zheng; Shiyong Zhang; Jianxing Xu; Rong Wang</t>
  </si>
  <si>
    <t>An 18-56-GHz gallium nitride (GaN) low-noise amplifier (LNA) monolithic microwave integrated circuit (MMIC) is presented in this letter. This LNA is fabricated with commercial 0.1-μm gate-length GaN-on-silicon (GaN/Si) process. The gain is 16-21.5 dB and the |S11| and |S22| are below -5 dB across the band. The noise figure (NF) is 2.2-4.4 dB and the output power at 1-dB compression point (P1 dB) is 10-20 dBm. This LNA has four-stage-cascade and common-source structure with 4.8 x 1 mm² chip area. The dc power dissipation is 1.4 W. To the best of the author's knowledge, there has been no GaN LNA covering such a wide bandwidth at this frequency range. This LNA shows ultrawide bandwidth, low NF, high linearity, and high robustness. Moreover, it can be directly integrated with GaN power amplifiers (PAs) and switches to realize the monolithic RF front-ends, which can largely reduce the packaging loss and the module volume. This LNA has a great potential in wideband, high-speed, high-reliability, and high-integration applications.</t>
  </si>
  <si>
    <t>https://ieeexplore.ieee.org/document/9234501</t>
  </si>
  <si>
    <t>Ultralow-Noise Figure and High Gain Ku-Band Bulk CMOS Low-Noise Amplifier With Large-Size Transistor</t>
  </si>
  <si>
    <t>This letter presents a fully integrated Ku-band low-noise amplifier (LNA) with a large-size transistor using 65-nm bulk complementary metal-oxide-semiconductor (CMOS) technology. To achieve an ultralow-noise figure, an optimization methodology balancing the ON-chip gate inductor and the parasitic capacitance of the large-size device is introduced. Using a voltage supply of 1 V, the proposed LNA has a 1.66-dB noise figure and 32.48-dB gain and, thus, outperforms other reported Ku-band bulk CMOS LNAs in these two respects. The LNA achieves the highest figure of merit I among reported Ku-band CMOS, silicon germanium, and gallium arsenide hetero-junction bipolar transistor LNAs. The LNA consumes a dc power of 22 mW and occupies a core area of 0.58 x 0.43 mm².</t>
  </si>
  <si>
    <t>https://ieeexplore.ieee.org/document/9264693</t>
  </si>
  <si>
    <t>To cite please use:  L. Belostotski et al. "Low-noise-amplifier (LNA) performance survey." [Online]. Available: https://schulich.ucalgary.ca/contacts/leo-belostotski</t>
  </si>
  <si>
    <t>https://ieeexplore.ieee.org/stamp/stamp.jsp?tp=&amp;arnumber=9216534</t>
  </si>
  <si>
    <t>https://ieeexplore.ieee.org/stamp/stamp.jsp?tp=&amp;arnumber=9218400</t>
  </si>
  <si>
    <t>https://ieeexplore.ieee.org/document/9218421</t>
  </si>
  <si>
    <t>https://ieeexplore.ieee.org/document/9218375</t>
  </si>
  <si>
    <t>https://ieeexplore.ieee.org/document/9218343</t>
  </si>
  <si>
    <t>https://ieeexplore.ieee.org/stamp/stamp.jsp?tp=&amp;arnumber=9218409</t>
  </si>
  <si>
    <t>Jan 05, 2021:</t>
  </si>
  <si>
    <t>120-GHz Wideband I/Q Receiver Based on Baseband Equalizing Technique</t>
  </si>
  <si>
    <t>Tae Hwan Jang; Dong Min Kang; Seung Hun Kim; Chae Jun Lee; Seongbae Jun; Hyuncheol Park; Joon Hyung Kim; Chul Soon Park</t>
  </si>
  <si>
    <t>In this study, we examined a 120-GHz wideband I/Q receiver based on a baseband equalizing amplifier using 40-nm complementary metal oxide semiconductor (CMOS) technology. For low-power operation, the receiver chipset is integrated based on the direct conversion structure. To achieve high data-rate wireless communication, the receiver utilizes a frequency equalizing technique between the low noise amplifier (LNA)-mixer and baseband amplifier. With the proposed technique, the estimated overall bandwidth is increased as wider as 5 GHz. The 3-dB conversion gain bandwidth is 26 GHz, noise figure (NF) is 10.8 dB, and dc power consumption is 153.4 mW. For the dual-mode operation, the variable gain of the baseband amplifier is applied, and the conversion gain of the proposed receiver is 28.2 dB for the high gain mode and 14.8 dB for the low gain mode. The chip area of the receiver is 1.5 mm². The proposed receiver exhibits a maximum data-rate of 12.5, 16, and 16 Gb/s for binary phase shift keying (BPSK), quadrature phase shift keying (QPSK), and 16-quadrature amplitude modulation (16-QAM), respectively.</t>
  </si>
  <si>
    <t>https://ieeexplore.ieee.org/document/9272369</t>
  </si>
  <si>
    <t>Monostatic and Bistatic G-Band BiCMOS Radar Transceivers With On-Chip Antennas and Tunable TX-to-RX Leakage Cancellation</t>
  </si>
  <si>
    <t>Maciej Kucharski; Wael Abdullah Ahmad; Herman Jalli Ng; Dietmar Kissinger</t>
  </si>
  <si>
    <t>This article presents G-band monostatic and bistatic radar transceivers (TRX) incorporating on-chip antennas for short-range high-precision applications. The circuits were fabricated using a silicon-germanium (SiGe) BiCMOS technology offering heterojunction bipolar transistors (HBTs) with fT/fMAX of 300/500 GHz. The monostatic TRX implements a tunable leakage canceller (LC) for enhanced transmitter (TX)-to-receiver (RX) leakage compensation and hence improved detectability of weakly reflecting near targets. A standalone monostatic TRX characterized at on-wafer level achieves 4-dBm maximum output power (PTX) and 19-dB peak conversion gain (GRX) with 3-dB bandwidths of 18 and 17,GHz for the TX and the RX, respectively. The bistatic version reaches PTX of 13 dBm and GRX of 24 dB expanding the 3-dB bandwidths to 32 and 34 GHz for the TX and RX, respectively. A double-folded dipole antenna providing 5-dBi gain at 170 GHz was implemented using localized backside etching (LBE) and integrated with the transceivers. A frequency-modulated continuous-wave (FMCW) radar demonstrator incorporating an external phase-locked loop (PLL) was built to evaluate both TRXs and tunable leakage cancellation feature available in the monostatic variant. The maximum equivalent isotropic radiated power (EIRP), including on-chip antennas, is 8 and 18 dBm for the monostatic and bistatic TRX, respectively. The radars support sweep bandwidth up to 20 GHz reaching 2.1 cm spatial resolution. For a target at 1 m distance the measured ranging precision is 105 μm and 13 μm for monostatic and bistatic TRX, accordingly. Activation of leakage cancellation effectively suppresses close-in noise and extends the minimum detectable range remarkably.</t>
  </si>
  <si>
    <t>https://ieeexplore.ieee.org/document/9292411</t>
  </si>
  <si>
    <t>A 6.5–12-GHz Balanced Variable-Gain Low-Noise Amplifier With Frequency-Selective Gain Equalization Technique</t>
  </si>
  <si>
    <t>Huiyan Gao; Nayu Li; Min Li; Shaogang Wang; Zijiang Zhang; Yen-Cheng Kuan; Chunyi Song; Xiaopeng Yu, Qun Jane Gu, Zhiwei Xu</t>
  </si>
  <si>
    <t>This article presents a wideband balanced variable-gain low-noise amplifier (VG-LNA) implemented in a 55-nm CMOS process. The proposed LNA has two cascode stages with an interstage matching transformer to constitute a fourth-order magnetically coupled resonator with two resonant peaks. The frequency-selective gain equalization technique is proposed to compensate for the gain variation of interstage dual-resonant tanks. This VG-LNA leverages a current-steering technique to realize a phase-invariant 18-dB tunable gain range with a measured input 1-dB gain compression point (IP 1dB ) at 9 GHz from −12.2 to −5 dBm. The LNA achieves a power gain of 20.2 dB with ±0.5-dB gain variation and a noise figure (NF) of 3.26 dB from 6.5 to 12 GHz. Due to the lumped Lange couplers, the input and output matching are both better than −14 dB. This chip occupies 1.44×0.68 mm 2 area excluding pads and consumes 75 mW.</t>
  </si>
  <si>
    <t>https://ieeexplore.ieee.org/document/9280365</t>
  </si>
  <si>
    <t>01/2021</t>
  </si>
  <si>
    <t>A Broadband PVT-Insensitive All-nMOS Noise-Canceling Balun-LNA for Subgigahertz Wireless Communication Applications</t>
  </si>
  <si>
    <t>Dongmin Kim; Seunghyeok Jang; Junghyup Lee; Donggu Im</t>
  </si>
  <si>
    <t>A broadband process, voltage, and temperature (PVT)-insensitive noise-canceling balun-low-noise amplifier (LNA) was implemented in the 0.13-μm CMOS process for subgigahertz wireless communication applications. The proposed LNA is based on the traditional common-gate common-source (CGCS) balun-LNA topology, and it adopts the diode-connected loads to reduce the noise contribution originated from CGCS transistors and enhance the linearity due to post linearization. The auxiliary common-source (CS) amplifier with a diode-connected is added to reduce the overall noise figure (NF) of the LNA by sharing an input signal with CGCS transistors and applying its output signal to the diode-connected load of CS transistor. Because the voltage gain of the LNA is determined by the transconductance (gₘ) ratio of the same types of nMOS transistors, its power gain (S₂₁) and NF are quite roust over PVT variations. In experiments, it showed S₂₁ of 14 dB and NF of 4 dB with an input return loss (S₁₁) of greater than 10 dB at 450 MHz. Concerning voltage variation (1.08-1.32 V) and temperature variation (-20 °C ~ +80 °C), the worst variations in S₂₁ and NF were approximately 1.4 and 1.1 dB, respectively.</t>
  </si>
  <si>
    <t>https://ieeexplore.ieee.org/document/9296234</t>
  </si>
  <si>
    <t>29/1/2021</t>
  </si>
  <si>
    <t>First Demonstration of Distributed Amplifier MMICs With More Than 300-GHz Bandwidth</t>
  </si>
  <si>
    <t>This article reports on the first demonstration of distributed amplifier monolithic microwave integrated circuits (MMICs) with a bandwidth (BW) of more than 300 GHz. The three presented circuits utilize a uniform traveling-wave amplifier topology with six, eight, and ten unit cells, respectively. In this article, the impact of the connection between the gate line and the transistors on the achievable performance is investigated. It is demonstrated that a short connection clearly provides a more favorable combination of BW, input matching, and losses on the gate line. Thus, it is possible to extend the BW beyond 300 GHz while utilizing transistors with a gate width of 2x10 μm. The MMICs are fabricated in a 35-nm gate-length InGaAs metamorphic high-electron-mobility transistor technology. The MMIC with six unit cells exhibits a noise figure (NF) between 3.5 and 8.2 dB for a noise-optimized bias from 1 GHz up to the measurement limit of 308 GHz. The MMIC with ten unit cells achieves a minimum NF of 2 dB for frequencies of around 50 GHz and stays below 10 dB for the entire band. Furthermore, for a power-optimized bias, the same circuit generates an output power between 8.7 and 14.8 dBm for a frequency range from 1 to 250 GHz.</t>
  </si>
  <si>
    <t>Fabian Thome; Arnulf Leuther</t>
  </si>
  <si>
    <t>https://ieeexplore.ieee.org/document/9340337</t>
  </si>
  <si>
    <t>A Ka-Band MMIC LNA in GaN-on-Si 100-nm Technology for High Dynamic Range Radar Receivers</t>
  </si>
  <si>
    <t>Corrado Florian;Pier Andrea Traverso;Alberto Santarelli</t>
  </si>
  <si>
    <t>12/2020</t>
  </si>
  <si>
    <t>A Ka-band monolithic low-noise amplifier (LNA) with high gain and high dynamic range (DR) has been designed and implemented in a 100-nm gallium nitride (GaN)-on-Si technology. The LNA is designed as the first stage of a high DR receiver in an frequency modulated continuous wave (FMCW) radar for the detection of small drones. The three-stage monolithic microwave integrated circuit (MMIC) LNA has a linear gain of 26 dB and a noise figure (NF) of 2 dB in the frequency band 33-38 GHz. The output 1-dB compression point (P1dB) and output IP3 at 37 GHz are 20 and 28.4 dBm, respectively. To our knowledge, this combination of NF, gain, and DR performance represents the state of art in this frequency band.</t>
  </si>
  <si>
    <t>38-GHz Phased Array Transmitter and Receiver Based on Scalable Phased Array Modules With Endfire Antenna Arrays for 5G MMW Data Links</t>
  </si>
  <si>
    <t>https://ieeexplore.ieee.org/document/9257595</t>
  </si>
  <si>
    <t>Chun-Nien Chen; Yi-Hsien Lin; Li-Cheng Hung; Tzu-Chien Tang; Wei-Pang Chao; Cheng-Yu Chen; Po-Hsiang Chuang; Guan-Yu Lin; Wei-Jun Liao; Yu-Hsiang Nien; Wei-Cheng Huang; Tai-Yu Kuo; Kun-You Lin; Tian-Wei Huang; Yi-Cheng Lin; Hsin-Chia Lu; Tsung-Heng Tsai; Huei Wang</t>
  </si>
  <si>
    <t>This article presents the 38-GHz phased array 32-element Tx and 16-element Rx with 2-GHz IF and 5-GHz LO for fifth-generation (5G) millimeter-wave (MMW) communications. The Tx and Rx beamformers and upconverters/downconverters are fabricated in 65-nm CMOS. The PAs and LNAs near antenna ends are fabricated in 0.15-μm GaAs pHEMT. The eight-element Tx and four-element Rx phased array printed circuit board (PCB) modules integrated with multiple integrated circuits (ICs) and endfire antennas are implemented as unit cells. Four pieces of Tx modules are vertically stacked to construct an 8 × 4 brick array (planar array), while four Rx modules are to construct a 4 × 4 array. According to 38-GHz over-the-air (OTA) measurements, the 32-element Tx shows 47.5-dBm equivalent isotropic radiated power (EIRP) at OP1 dB with -35.2-dB image rejection ratio (IMRR) and -37.4-dB × 8 LORR. The 16-element Rx at 38 GHz shows -4-dBm OP 1 dB with -28-dB IMRR and -36.6-dB LORR. The Tx and Rx support the beam scanning around ±60° azimuth and ±30° elevation planes. The Tx-to-Rx wireless data link demonstrates 64 quadrature amplitude modulation (QAM)/400 M-BR, 256 QAM/200 M-BR, and 512 QAM/100 M-BR in 20 m. To the best of our knowledge, this work is the first 5G 37-/39-GHz phased array Tx/Rx using the scalable brick array configuration and demonstrating competitive performances compared with previous works.</t>
  </si>
  <si>
    <t>This article presents a wideband balanced variable-gain low-noise amplifier (VG-LNA) implemented in a 55-nm CMOS process. The proposed LNA has two cascode stages with an interstage matching transformer to constitute a fourth-order magnetically coupled resonator with two resonant peaks. The frequency-selective gain equalization technique is proposed to compensate for the gain variation of interstage dual-resonant tanks. This VG-LNA leverages a current-steering technique to realize a phase-invariant 18-dB tunable gain range with a measured input 1-dB gain compression point (IP1dB) at 9 GHz from -12.2 to -5 dBm. The LNA achieves a power gain of 20.2 dB with ±0.5-dB gain variation and a noise figure (NF) of 3.26 dB from 6.5 to 12 GHz. Due to the lumped Lange couplers, the input and output matching are both better than -14 dB. This chip occupies 1.44 × 0.68 mm 2 area excluding pads and consumes 75 mW.</t>
  </si>
  <si>
    <t>Huiyan Gao; Nayu Li; Min Li; Shaogang Wang; Zijiang Zhang; Yen-Cheng Kuan; Chunyi Song; Xiaopeng Yu; Qun Jane Gu; Zhiwei Xu</t>
  </si>
  <si>
    <t>03/2021</t>
  </si>
  <si>
    <t>A Novel Low-Power Notch-Enhanced Active Filter for Ultrawideband Interferer Rejected LNA</t>
  </si>
  <si>
    <t>Yubing Li; Xiuping Li; Zemeng Huang; Tao Tan; Deyang Chen; Cheng Cao; Zihang Qi</t>
  </si>
  <si>
    <t>In this article, a novel low-power notch-enhanced active filter is presented using the feedback notch-enhanced (FNE) technique. The active notch filter is proposed based on an area-saving second-order LC series resonator. The passive devices’ loss can be effectively eliminated by the generated dc power-independent negative resistance by inserting a current feedback transistor. Moreover, the capacitive source degeneration (CSD) technique is proposed to boost the filter Q by shifting the series resonant frequency to the negative-resistance region. To demonstrate the feasibility and practicability of the proposed notch filter, a 3.1–10.6-GHz IEEE 802.11a interferer rejected low-noise amplifier (IR-LNA) is fabricated in a 0.13- μm CMOS process. The multistage structure, consisting of a common-gate (CG) stage with a dual-resonance load and a cascode stage with the proposed active notch filter, is employed for wideband input matching, gain flatness, and interferer rejection (IR) simultaneously. The measurements show that the IR-LNA provides a maximum of 16.05-dB power gain, 2.08–3.70-dB noise figure (NF) in the desired band, and a maximum of 40.9-dB IR ratio (IRR) at 5.77 GHz, with a power consumption of 10.2 mW, while the active notch filter only consumes 456- μA current.</t>
  </si>
  <si>
    <t>https://ieeexplore.ieee.org/document/9346032</t>
  </si>
  <si>
    <t>Millimeter-Wave SiGe Radiometer Front End With Transformer-Based Dicke Switch and On-Chip Calibration Noise Source</t>
  </si>
  <si>
    <t>Milad Frounchi; Amirreza Alizadeh; Hanbin Ying; Christopher T. Coen; Albin J. Gasiewski; John D. Cressler</t>
  </si>
  <si>
    <t>We present a co-designed Dicke switch and low-noise amplifier (LNA) in which the switch incorporates a transformer-based topology and serves as the input matching network of the LNA. This topology is configured to minimize the amplifier gain mismatch between the two switching states caused by process variations while providing a low noise figure (NF). The circuit is implemented in a 0.13-μm SiGe BiCMOS technology, and it achieves more than 20-dB gain and minimum NF values of 4.5 and 0.58 dB at 300 and 20 K, respectively. It consumes a dc power of 15 mW. The front-end switch presents a peak isolation of 17 dB, and the input return loss is better than 15 dB across 45-70 GHz. A noise source is also coupled to the front-end circuitry to enable on-chip calibration. The noise performance and reliability of several on-chip p-n junctions were characterized, and the one with the highest excess noise ratio was coupled to the front-end circuitry. To the best of our knowledge, the lowest NF of an integrated switch and LNA at V-band frequencies is achieved in the present work, along with the first reliability study of on-chip noise sources in a SiGe BiCMOS technology.</t>
  </si>
  <si>
    <t>https://ieeexplore.ieee.org/document/9344837</t>
  </si>
  <si>
    <r>
      <t>This paper reports on a S-, C-band low-noise power amplifier (LNPA) which achieves a sub-0.2 dB noise figure (NF) over a multi-octave band and a saturated output power (Psat) of 2 W at a cool temperature of -30degC . The GaN MMIC is based on a 0.2 mum AlGaN/GaN-SiC HEMT technology with an f</t>
    </r>
    <r>
      <rPr>
        <sz val="8"/>
        <rFont val="Calibri"/>
        <family val="2"/>
        <scheme val="minor"/>
      </rPr>
      <t>T</t>
    </r>
    <r>
      <rPr>
        <sz val="11"/>
        <rFont val="Calibri"/>
        <family val="2"/>
        <scheme val="minor"/>
      </rPr>
      <t> ~ 75 GHz. At a cool temperature of -30degC and a power bias of 15 V-400 mA, the MMIC achieves 0.25-0.45 dB average NF over a 2-8 GHz band and a linear P</t>
    </r>
    <r>
      <rPr>
        <sz val="8"/>
        <rFont val="Calibri"/>
        <family val="2"/>
        <scheme val="minor"/>
      </rPr>
      <t>1dB</t>
    </r>
    <r>
      <rPr>
        <sz val="11"/>
        <rFont val="Calibri"/>
        <family val="2"/>
        <scheme val="minor"/>
      </rPr>
      <t> of 32.8 dBm ( ~ 2 W) with 25% power-added efficiency (PAE). At a medium bias of 12 V-200 mA, the amplifier achieves 0.1-0.2 dB average NF across the same band and a P</t>
    </r>
    <r>
      <rPr>
        <sz val="8"/>
        <rFont val="Calibri"/>
        <family val="2"/>
        <scheme val="minor"/>
      </rPr>
      <t>1dB</t>
    </r>
    <r>
      <rPr>
        <sz val="11"/>
        <rFont val="Calibri"/>
        <family val="2"/>
        <scheme val="minor"/>
      </rPr>
      <t> of 32.2 dBm (1.66 W) with 35% PAE. The corresponding saturated output power is greater than 2 W. At a low noise bias of 5 V-200 mA, a remarkable 0.05-0.15 dB average NF is achieved with a P</t>
    </r>
    <r>
      <rPr>
        <sz val="8"/>
        <rFont val="Calibri"/>
        <family val="2"/>
        <scheme val="minor"/>
      </rPr>
      <t>1dB</t>
    </r>
    <r>
      <rPr>
        <sz val="11"/>
        <rFont val="Calibri"/>
        <family val="2"/>
        <scheme val="minor"/>
      </rPr>
      <t> &gt; 24 dBm and PAE ~ 33%. These results are believed to be the lowest NF ever reported for a multi-octave fully matched MMIC amplifier capable of &gt; 2 W of output power.</t>
    </r>
  </si>
  <si>
    <t>02/2021</t>
  </si>
  <si>
    <t>A 27–46-GHz Low Noise Amplifier With Dual-Resonant Input Matching and A Transformer-Based Broadband Output Network</t>
  </si>
  <si>
    <t>Yaolong Hu; Taiyun Chi</t>
  </si>
  <si>
    <t>This paper presents a 27–46-GHz low-noise amplifier (LNA) in a 45-nm CMOS SOI process. Two circuit techniques are employed to enhance the LNA bandwidth. First, the intrinsic gate-to-drain parasitic capacitance of the input transistor and the frequency-dependent behavior of the first-stage load impedance are explored to realize dual resonances for S11 and thus, extending the input matching bandwidth. Second, a network synthesis methodology is presented to convert a canonical second-order bandpass filter to a transformer-based output network, which realizes broadband power gain while occupying only one inductor footprint. In the measurements, the LNA 3-dB gain bandwidth is from 25.5 to 50 GHz with a peak gain of 21.2 dB at 37.8 GHz. The effective bandwidth of the LNA is limited by the 10-dB return loss bandwidth, which is from 27 to 46 GHz. The minimum noise figure (NF) is 2.4 dB at 27.8 GHz, and the NF remains &lt; 4.2 dB within the effective bandwidth. The measured IIP3 is -11.0 dBm at 38 GHz with 25.5 mW dc power consumption.</t>
  </si>
  <si>
    <t>https://ieeexplore.ieee.org/document/9354610</t>
  </si>
  <si>
    <t>A Ka-Band Switchable LNA with 2.4 dB NF Employing a Varactor-Based Tunable Network</t>
  </si>
  <si>
    <t>Zuojun Wang; Debin Hou; Peigen Zhou; Huanbo Li; Zekun Li; Jixin Chen; Wei Hong</t>
  </si>
  <si>
    <t>This letter presents a multi-band switchable low noise amplifier (LNA) in 0.1-μm GaAs pHEMT process. Employing a new varactor-based tunable network as the interstage matching circuit, the operation bands can be tuned consecutively and cover the 5G millimeter-wave frequency bands N257/N260. The proposed tunable structure functions well without sacrificing noise performance or increasing dc consumption and chip area. In the entire operation band from 26.5 to 41 GHz, the LNA achieves a small-signal gain of over 24 dB and a noise figure (NF) of less than 2.9 dB. The measured result shows a small-signal gain of 25.1/27.7 dB and a NF of 2.4/2.8 dB at 28/39 GHz. The measured input 1 dB compression point (IP1dB) is -18.3/-17 dBm at 28/39 GHz. The measured input-referred intercept point (IIP3) is -8.8/-8.5 dBm at 28/39 GHz. The LNA has a chip size of 1.6 mm × 1 mm and the total power consumption is 74 mW. To the best of the authors’ knowledge, the proposed LNA is the state-of-the-art Ka-band switchable LNA and has a similar performance compared with single-band LNAs using the same technology.</t>
  </si>
  <si>
    <t>https://ieeexplore.ieee.org/document/9354834</t>
  </si>
  <si>
    <t>A 0.6-V VDD W-Band Neutralized Differential Low Noise Amplifier in 28-nm Bulk CMOS</t>
  </si>
  <si>
    <t>Chia-Jen Liang; Ching-Wen Chiang; Jia Zhou; Rulin Huang; Kuei-Ann Wen; Mau-Chung Frank Chang; Yen-Cheng Kuan</t>
  </si>
  <si>
    <t>This letter presents a W-band low-power and high-gain differential low noise amplifier (LNA) fabricated in 28-nm bulk CMOS technology. This LNA operates at a 0.6-V supply voltage (VDD) to achieve low power consumption and respond to the low-voltage regime anticipated in future CMOS technology nodes. To obtain sufficient voltage headroom and mitigate the Miller effect, this LNA employs neutralized common source (CS) instead of cascode topology in each stage. The common-mode instability introduced by CS neutralization is reduced by making the secondary coil of each transformer (except the final one) center-tapped with resistors. The stability factor (K) and measure (B1) at a single-stage common mode are improved from 0.59 to 126 and from -0.14 to 0.6, respectively. In addition, each stage of this LNA uses only one transformer for conjugate matching, without any capacitor to minimize the passive loss. This LNA consists of five stages and achieves a power gain of 25 dB over 81-91 GHz (BW3dB) and a minimum noise figure (NF) of 6 dB at 85 GHz with power consumption of 15 mW and a silicon core area of 0.19 mm2.</t>
  </si>
  <si>
    <t>https://ieeexplore.ieee.org/document/9363237</t>
  </si>
  <si>
    <t>A V-band Low-Power Compact LNA in 130-nm SiGe BiCMOS Technology</t>
  </si>
  <si>
    <t>Batuhan Sutbas; Herman Jalli Ng; Jan Wessel; Alexander Koelpin; Gerhard Kahmen</t>
  </si>
  <si>
    <t>This letter presents the design of a V-band low-power compact low-noise amplifier in a 130nm SiGe BiCMOS technology. For the low-power and low-noise requirements, transistors need to operate with low voltage supply and low current density which comes at the cost of lower gain per BJT stage. We use a technique to cancel the Miller capacitance in a single-stage differential amplifier and achieve high-gain, low-power, and low-noise simultaneously. The circuit topology is analyzed and the transistor core layout as well as the matching network design considerations are discussed. The measured circuit shows a peak gain of 14.1 dB in a 3 dB bandwidth from 44 GHz to 67 GHz while consuming 5.1mW. Experimental results show an output power of 7.1dBm at 1 dB compression with an associated power-added efficiency of 30%. The simulated noise figure is 3.3 dB at the center frequency. To the best of our knowledge, the highest figure of merit among V-band LNAs based on silicon is reported.</t>
  </si>
  <si>
    <t>https://ieeexplore.ieee.org/document/9366489</t>
  </si>
  <si>
    <t>A 0.061-mm² 1-11-GHz Noise-Canceling Low-Noise Amplifier Employing Active Feedforward With Simultaneous Current and Noise Reduction</t>
  </si>
  <si>
    <t>This article proposes a novel wideband common-gate (CG) common-source (CS) low-noise amplifier (LNA) with active feedforward for simultaneous current and noise reduction. By employing an active feedforward stage in the main path, the current dissipation and the thermal noise are effectively suppressed, while the noise and distortion cancelation properties of CG-CS topology are preserved. Moreover, no extra noise is introduced since the additional gₘ-boost amplifier follows the same noise-canceling (NC) principle as the CG amplifier, and its noise can be fully canceled at the output theoretically. Thus, the proposed LNA benefits from the gₘ-boosting and NC technique simultaneously to obtain a good tradeoff between gain, noise figure (NF), and power consumption. Fabricated in standard 40-nm CMOS technology, the measured results show the proposed LNA exhibits a peak gain of 17 dB, NF of 3.5-5.5 dB from 1 to 11 GHz and an IIP3 of -2.8 dBm at 6 GHz. It consumes 9 mW from a 1.2-V supply and occupies a very compact die area of 0.061 mm².</t>
  </si>
  <si>
    <t>Zhe Liu; Chirn Chye Boon; Xiaopeng Yu; Chenyang Li; Kaituo Yang; Yuan Liang</t>
  </si>
  <si>
    <t>https://ieeexplore.ieee.org/document/9377636</t>
  </si>
  <si>
    <t>Novel Design Charts for Optimum Source Degeneration Tradeoff in Conjugately Matched Multistage Low-Noise Amplifiers</t>
  </si>
  <si>
    <t>Patrick E. Longhi; Lorenzo Pace; Sergio Colangeli; Walter Ciccognani; Ernesto Limiti</t>
  </si>
  <si>
    <t>Source degenerative feedback is extensively applied in the low-noise amplifier design. The beneficial effects of this technique are well established in the open literature. However, the designer is often left to trial-and-error or optimization procedures to identify the adequate amount of feedback when other linear requirements, such as signal matching, come into play. This issue is even more relevant in multistage designs. In this article, we present a synthesis procedure and the relevant design chart to identify the optimum feedback inductor value on all transistors of an N-stage amplifier to obtain a perfect match at its external ports in conjunction with amplifier noise figure minimization and a specified gain requirement. It is shown that the method is applicable to arbitrary N values although it becomes more elaborate for N greater than 6. The method is deterministic as opposed to optimization or trial-and-error-based procedures. The design flow is illustrated at first through a four-stage design with ideal matching elements and subsequently validated by an monolithic microwave integrated circuit (MMIC) test vehicle designed and realized in the WIN foundry's Gallium Arsenide PIH1-10 process. The measured performance of the test vehicle is NF = 1.9 dB, 26 dB gain, typical I/O return loss of 15 dB in the 26.5-29.5-GHz bandwidth, and practically ideal behavior at the design frequency of 28 GHz.</t>
  </si>
  <si>
    <t>https://ieeexplore.ieee.org/document/9397304</t>
  </si>
  <si>
    <t>PIH1-10</t>
  </si>
  <si>
    <t>A D-Band High-Gain and Low-Power LNA in 65-nm CMOS by Adopting Simultaneous Noise- and Input-Matched Gmax-Core</t>
  </si>
  <si>
    <t>Byeonghun Yun; Dae-Woong Park; Hafiz Usman Mahmood; Doyoon Kim; Sang-Gug Lee</t>
  </si>
  <si>
    <t>This article proposes a high-gain and low-power low-noise amplifier (LNA) by adopting a simultaneous noise- and input-matched (SNIM) maximum achievable gain (Gmax) core. The Gmax-core is implemented by adjusting the infinite combinations of embedding networks with three passive elements. Based on the proposed two-port noise analysis for implementing the Gmax-core, the input stage Gmax-core can achieve a simultaneous power gain and noise matching. The adoption of the Gmax-core in the input stage can maximize the amount of gain per stage, leading to higher total power gain and lower noise figure (NF). The two-stage 150-GHz LNA adopting the SNIM Gmax-core is implemented in a 65-nm CMOS process. The measurement results show a peak gain of 17.9 dB at 152.2 GHz, 3-dB bandwidth of 11 GHz, NF of 4.7 and 6.2 dB at 148 and 150 GHz, respectively, and a peak power added efficiency (PAE) of 7.7% while dissipating only 13.73 mW. This work shows the highest gain per stage and the lowest NF with the lowest dc power consumption among other reported CMOS D-band amplifiers.</t>
  </si>
  <si>
    <t>https://ieeexplore.ieee.org/document/9387614</t>
  </si>
  <si>
    <t>Low Noise Amplifier With 7-K Noise at 1.4 GHz and 25 °C</t>
  </si>
  <si>
    <t>Sander Weinreb; Jun Shi</t>
  </si>
  <si>
    <t>This article describes a low noise amplifier which is believed will have a transformative impact because of the following characteristics: 1) the noise temperature at a physical temperature of 25 °C is a factor of 4 lower than typical commercial LNAs; 2) the noise decreases to 4.5 K at a temperature of −40 °C, a temperature realizable with solid-state coolers; 3) the LNA has an integrated, extremely stable noise source to facilitate measurement of system noise temperature; and 4) the amplifier is powered by a dc voltage and controlled by a tone signal on the RF output cable thus requiring no additional wiring. The amplifier benefits systems in the low microwave frequency range with low background temperature, such as those for space communications and radio astronomy, but without the capital and maintenance costs of cryogenic systems. This article describes the construction and test results with an emphasis on the manufacturability and accuracy of the noise measurements. Finally, the noise of a system deploying the LNA is described.</t>
  </si>
  <si>
    <t>https://ieeexplore.ieee.org/document/9374769</t>
  </si>
  <si>
    <t>A Cryogenic Broadband Sub-1-dB NF CMOS Low Noise Amplifier for Quantum Applications</t>
  </si>
  <si>
    <t>Yatao Peng; Andrea Ruffino; Edoardo Charbon</t>
  </si>
  <si>
    <t>A cryogenic broadband low noise amplifier (LNA) for quantum applications based on a standard 40-nm CMOS technology is reported. The LNA specifications are derived from the readout of semiconductor quantum bits at 4.2 K, whose quantum information signals are characterized as phase-modulated signals. To achieve broadband input matching impedance and low noise figure, the gate-to-drain capacitance of the input transistor is exploited. The goal is to involve a resistive and capacitive load into the input impedance match of a common-source stage with source inductive degeneration. The capacitive load is created by an LC parallel tank whose resonant frequency is lower than the operating frequency. The achieved non-constant in-band equivalent capacitance is proven to be beneficial to input impedance matching. The resistive part of the load is provided by the transconductance of the cascode stage implicitly. An inductor is added to the gate of the cascode transistor to suppress its noise, and a transformer-based resonator with two resonant frequencies serves as the load of the first stage, thus extending the operating bandwidth. Design considerations for the cryogenic temperature operation of the LNA are proposed and analyzed. The LNA achieves a measured gain (S₂₁) of 35 ± 0.5 dB, return loss &gt; 12 dB, and NF of 0.75-1.3 dB across the band (4.1-7.9 GHz), with 51.1-mW power consumption at room temperature, while it shows a measured gain of 42 ± 3.3 dB, and NF of 0.23-0.65 dB with 39-mW power consumption at 4.2 K between 4.6 and 8 GHz. To the best of our knowledge, this is the first report of a cryogenic LNA based on a bulk CMOS process working above 4 GHz showing sub-1-dB NF both at room and cryogenic temperatures.</t>
  </si>
  <si>
    <t>https://ieeexplore.ieee.org/document/9415645</t>
  </si>
  <si>
    <t>3-9 GHz CMOS LNA Using Body Floating and Self-Bias Technique for Sub-6 GHz 5G Communications</t>
  </si>
  <si>
    <t>Jin-Fa Chang; Yo-Sheng Lin</t>
  </si>
  <si>
    <t>We propose the body floating and self-bias technique, in which the body of the transistor is connected to its drain through a resistance (13.6 kΩ in this work). A low-power 3-9 GHz CMOS low-noise amplifier (LNA) using the technique for sub-6 GHz 5G systems is reported. An enhancement in S21 and noise figure (NF) of the LNA is achieved due to the forward body-to-source bias (VBS) (i.e. small threshold voltage Vth) and the transistors being free from the substrate leakage. Low power is achieved since low supply voltage (VDD) of 1 V or 0.8 V is applicable because of small Vth. At VDD of 1 V, the LNA consumes 3.3 mW and achieves prominent S11 of -10.1~ -41.6 dB, S21 of 10.7 dB, and NF of 2.89 dB for 3-9 GHz. At VDD of 0.8 V, the LNA consumes 1.36 mW and achieves S11 of -10~ -45.8 dB, S21 of 9.4 dB, and NF of 3.46 dB. To the authors’ knowledge, both are one of the lowest power values ever reported for CMOS LNAs with bandwidth greater than 6 GHz and NF under 3.5 dB.</t>
  </si>
  <si>
    <t>https://ieeexplore.ieee.org/document/9411814</t>
  </si>
  <si>
    <t>A Broadband 70-110 GHz E/W-band LNA using a 90 nm T-gate GaN HEMT Technology</t>
  </si>
  <si>
    <t>Kevin W. Kobayashi; Vipan Kumar</t>
  </si>
  <si>
    <t>This paper describes the design and measured performance of an E/W-band GaN MMIC low noise amplifier based on a 90 nm T-gate GaN technology. The GaN technology is characterized by a peak fT of 145 GHz, and an NFmin of ~ 1.2 dB at 50 GHz. The LNA is comprised of a 4-stage common-source amplifier designed to operate over a 70-110 GHz frequency band. From 70- 89 GHz, the amplifier achieves 15 -17.9 dB of gain and a NF of 3.5-4.2 dB over a 75-83 GHz measured sub-band. From 90-110 GHz the amplifier achieves a gain from 15.8-19.2 dB and a NF of 3.3-3.8 dB over a 91-96 GHz measured sub-band. These are believed to be the lowest NFs achieved from a single GaN amplifier covering both E and W- frequency bands. The MMIC is 2.4x1.3 mm2 in size and consumes 200 mW of dc power from a 5V supply. The GaN LNA can be integrated with a PA and RF switch to form a compact GaN TR MMIC solution</t>
  </si>
  <si>
    <t>https://ieeexplore.ieee.org/document/9417206</t>
  </si>
  <si>
    <t>06/2021</t>
  </si>
  <si>
    <t>These suggested coefficients are used to calculate FOM in CMOS tab</t>
  </si>
  <si>
    <t>FOM equations are shown in "Other FOM eq" sheet.</t>
  </si>
  <si>
    <t>Some explanations to the FOM calculation are added and tabs renamed</t>
  </si>
  <si>
    <r>
      <t xml:space="preserve">1) TO USE THIS NEED TO INSTALL "SOLVER".  </t>
    </r>
    <r>
      <rPr>
        <sz val="11"/>
        <rFont val="Calibri"/>
        <family val="2"/>
        <scheme val="minor"/>
      </rPr>
      <t>To install solver, go to File-&gt;Options, click Add-Ins-&gt;Manage box-&gt;Excel Add-ins, click Go, in Add-Ins Available select Solver Add=in</t>
    </r>
  </si>
  <si>
    <r>
      <t xml:space="preserve">2) Run Solver in the Data menu, as shown in the figure below  </t>
    </r>
    <r>
      <rPr>
        <sz val="11"/>
        <rFont val="Calibri"/>
        <family val="2"/>
        <scheme val="minor"/>
      </rPr>
      <t xml:space="preserve">(this will update values in the </t>
    </r>
    <r>
      <rPr>
        <sz val="11"/>
        <color theme="7" tint="-0.249977111117893"/>
        <rFont val="Calibri"/>
        <family val="2"/>
        <scheme val="minor"/>
      </rPr>
      <t>orange</t>
    </r>
    <r>
      <rPr>
        <sz val="11"/>
        <color rgb="FFFF0000"/>
        <rFont val="Calibri"/>
        <family val="2"/>
        <scheme val="minor"/>
      </rPr>
      <t xml:space="preserve"> </t>
    </r>
    <r>
      <rPr>
        <sz val="11"/>
        <rFont val="Calibri"/>
        <family val="2"/>
        <scheme val="minor"/>
      </rPr>
      <t xml:space="preserve">and </t>
    </r>
    <r>
      <rPr>
        <sz val="11"/>
        <color rgb="FF00B050"/>
        <rFont val="Calibri"/>
        <family val="2"/>
        <scheme val="minor"/>
      </rPr>
      <t xml:space="preserve">green </t>
    </r>
    <r>
      <rPr>
        <sz val="11"/>
        <rFont val="Calibri"/>
        <family val="2"/>
        <scheme val="minor"/>
      </rPr>
      <t>areas and the FOMs in the CMOS tab)</t>
    </r>
  </si>
  <si>
    <t>05/2021</t>
  </si>
  <si>
    <t>A Wideband CMOS LNA Using Transformer-Based Input Matching and Pole-Tuning Technique</t>
  </si>
  <si>
    <t>Hongchen Chen; Haoshen Zhu; Liang Wu; Wenquan Che; Quan Xue</t>
  </si>
  <si>
    <t>A wideband low-noise amplifier (LNA) featuring transformer-based wideband input matching is proposed for millimeter-wave applications. By analyzing the properties of conventional series input matching networks, which were widely employed in narrowband LNAs and shunt-series matching networks for bandwidth extension, a novel input matching network possessing the merits of both was proposed. For further bandwidth extension, another peak of input impedance at a higher frequency is introduced for the proposed input matching network. Moreover, it is proved that the proposed input matching network can suppress the gate resistor noise, resulting in significant noise figure (NF) improvement of an LNA. On the other hand, the NF is further reduced by connecting a transformer between the two amplification stages, which helps suppress the noise contribution from the second stage, leading to an LNA design with NF lower than 4.5 dB over a very wide operating bandwidth. To enhance the gain bandwidth, the peak distribution, including both shunt peaking and series peaking, is discussed. By appropriately distributing these peaks, which is also known as the pole-tuning technique, a wider gain bandwidth can be obtained. To validate the proposed techniques, an LNA with two common-source (CS) stages is designed and fabricated using a 65-nm CMOS process, and the overall chip size, including all pads, is only 0.26 mm². The two CS stages are cascoded for dc biasing to reduce the power consumption. Experimental results show that a peak gain of 13.5 dB is achieved within a -3-dB bandwidth from 19.2 to 42.6 GHz. The measured NF is 3.1-4.5 dB, and the input 1-dB gain compression point (IP1 dB) ranges from -13.54 to -9.89 dBm in the entire gain bandwidth. The input return loss S₁₁ is less than -10 dB over a frequency range of 16.8-38.9 GHz. Moreover, benefiting from the current-reuse technique, the power consumption of the LNA is only 6.36 mW.</t>
  </si>
  <si>
    <t>https://ieeexplore.ieee.org/document/9424214</t>
  </si>
  <si>
    <t>A 3.6 mW 60-GHz Low Noise Amplifier with 0.6 Settling Time for Duty-Cycled Receivers</t>
  </si>
  <si>
    <t>Helmuth P. E. Morath; Paolo Valerio Testa; Jens Wagner; Frank Ellinger</t>
  </si>
  <si>
    <t>This letter presents the first duty-cycled Low Noise Amplifier (LNA) operating in the V-band (40-75 GHz). The amplifier employs a two-stage cascode topology and focuses on low power consumption and therefore fast settling times. The switching is achieved by using inverters at the Common-Gate (CG) transistor of the cascode stage. This control technique enables adapting the duty-cycle and therefore the data-rate depending on the required performance. The LNA can be operated in an oversampling mode fulfilling a wake-up function and consuming only 22μW for a data-rate of 294 kbps or in continuous mode dissipating 3.6mW. A settling time of 0.6 ns, a rise time of 19 ps, and a fall time of 27 ps has been experimentally demonstrated on a prototype fabricated in a 22nm Fully-Depleted Silicon-On-Insulator (FD-SOI) technology. The measurement results include a peak gain of 18 dB, a 3-dB bandwidth of 18 GHz, an average Noise Figure (NF) of 4.9 dB within the 3-dB band and an input 1 dB compression point (P1dB) at 60GHz of -21.1 dBm.</t>
  </si>
  <si>
    <t>https://ieeexplore.ieee.org/document/9438695</t>
  </si>
  <si>
    <t>A 24–44 GHz Broadband Transmit–Receive Front End in 0.13-μm SiGe BiCMOS for Multistandard 5G Applications</t>
  </si>
  <si>
    <t>04/2021</t>
  </si>
  <si>
    <t>Dehan Wang; Wenhua Chen; Xin Liu; Xuan Li; Fadhel M. Ghannouchi; Zhenghe Feng</t>
  </si>
  <si>
    <t>In this article, a novel broadband millimeter-wave (mm-wave) front end (FE) based on the asymmetric switch network structure is proposed for multistandard fifth-generation (5G) applications. The asymmetric switch network consists of a bidirectional impedance transformation network and a T-type topology single-pole single-throw (SPST) switch. In the TX-mode, the bidirectional impedance transformation network serves as an output matching network to achieve a continuous-mode Class-F −1 power amplifier (PA) to expand the bandwidth. In the RX-mode, the OFF impedance of the PA can be transformed into a high-impedance region by the bidirectional impedance transformation network. Based on the proposed structure, a broadband mm-wave front end is implemented in the 0.13- μm SiGe BiCMOS process, which occupies 906μm×997μm including pads. In the TX-mode, the −1-dB Psat bandwidth of the FE covers 21–44 GHz with the maximum output power of 18.1–19 dBm and the peak power added efficiency (PAE) of 20.2%–26.8%. In the RX-mode, the FE achieves an 84.6% and −3-dB small-signal gain fractional bandwidth from 20.2 to 49.8 GHz with 38-mW power consumption. It achieves a measured noise figure (NF) of 7.62–11.64 dB over the frequency range of 24–48 GHz. To the best of our knowledge, this is the first FE that covers all the present 5G mm-wave bands without reconfiguration.</t>
  </si>
  <si>
    <t>https://ieeexplore.ieee.org/document/9399482</t>
  </si>
  <si>
    <t>https://ieeexplore.ieee.org/document/9422913</t>
  </si>
  <si>
    <t>Dual-Band CMOS RF Front-End Employing an Electrical-Balance Duplexer and N-Path LNA for IBFD and FDD Radios</t>
  </si>
  <si>
    <t>Pillseong Kang; Junghwan Han</t>
  </si>
  <si>
    <t xml:space="preserve">This article proposes a dual-band complementary metal–oxide–semiconductor (CMOS) radio frequency (RF) front end employing a hybrid transformer-based electrical-balance duplexer (EBD) and N -path filter embedded low-noise amplifier (LNA) for both in-band full duplexing (IBFD) and frequency-division duplexing (FDD) radios. To securely obtain sufficient self-interference cancellation (SIC) or transmitter (TX) leakage rejection in IBFD and FDD modes of the EBD at both low-band (LB) (0.7–1 GHz) and mid-band (MB) (1.8–2.2 GHz) frequency ranges, a band-switchable hybrid transformer is designed with a finely adjustable balance network to control the antenna impedance variations. In addition, the four-phase N -path LNA is utilized to further offer TX leakage rejection in the FDD operation. This RF front-end is fabricated using a 65-nm CMOS technology and is mainly characterized by long-term evolution frequency bands. The demonstrated design achieves SIC and TX leakage rejection greater than 55 dB for IBFD and FDD modes of all measured frequency bands, which has a maximum power handling capability of +25 dBm. Furthermore, the design attains voltage gains greater than 8.7 dB for LB and 3.7 dB for MB, noise figures of 10.4 dB for LB and 12.1 dB for MB, out-of-band (OB) P1dBs greater than +21.4 dBm for LB and +21.5 dBm for MB, and OB IIP3s greater than +39.7 dBm for LB and +43.1 dBm for MB. It draws a bias current of 23.8 mA from the LNA and output buffer with a nominal supply of 1.2 V and has an active area of approximately 2 mm 2 </t>
  </si>
  <si>
    <t>A 24-30-GHz TRX Front-End With High Linearity and Load-Variation Insensitivity for mm-Wave 5G in 0.13-μm SiGe BiCMOS</t>
  </si>
  <si>
    <t>Zekun Li; Jixin Chen; Debin Hou; Huanbo Li; Long Wang; Peigen Zhou; Wei Hong</t>
  </si>
  <si>
    <t>A time-division duplex (TDD) transmit/receive (T/R) millimeter-wave (mm-wave) front-end in 0.13-μm SiGe BiCMOS for fifth generation (5G) is presented. The front-end is composed of a power amplifier (PA), a low noise amplifier (LNA), and a single-pole double-throw (SPDT) switch. At mm-wave bands, the traditional SPDT switch limits the output power of the front-end in transmit mode. In this article, an asymmetric SPDT switch is proposed with high-power-handling capability (simulated OP 1,dB&gt;28 dBm), low insertion loss, and compact structure at 24-30 GHz. A balanced architecture is used to implement a high gain and high linearity PA with excellent input/output return losses and load-variation insensitivity. The effect of the feedback capacitor in the base of the cascode stage has been analyzed. The standalone PA achieves OP 1,dB /peak PAE &gt; 16.9 dBm/18.7% across 24-30 GHz and the OP 1,dB /peak PAE still exceeds &gt;15.9 dBm/16.3% including the switch loss and compression. 5G NR FR2 64-QAM modulation tests demonstrate the high linearity of the balanced PA. At 28 GHz, the standalone PA shows the EVM of -29.93 dB/-26.06 dB with an average output power ( Pavg ) of 10.15 dBm/12.16 dBm. The front-end in transmit mode shows the EVM of -29.63 dB/-26.02 dB with an average output power of 7.76 dBm/9.59 dBm. A wideband LNA is designed and exhibits a measured gain of 26 dB with a 3-dB bandwidth of 19-35 GHz, a noise figure (NF) &lt; 5.3 dB at 24-30 GHz including the switch loss. The proposed front-end achieves high linearity in transmit mode and low NF in receive mode.</t>
  </si>
  <si>
    <t>https://ieeexplore.ieee.org/document/9509333</t>
  </si>
  <si>
    <t>A 50-nm Gate-Length Metamorphic HEMT Technology Optimized for Cryogenic Ultra-Low-Noise Operation</t>
  </si>
  <si>
    <t>6/2021</t>
  </si>
  <si>
    <t>Felix Heinz; Fabian Thome; Arnulf Leuther; Oliver Ambacher</t>
  </si>
  <si>
    <t>This article reports on the investigation and optimization of cryogenic noise mechanisms in InGaAs metamorphic high-electron-mobility transistors (mHEMTs). HEMT technologies with a gate length of 100, 50, and 35 nm are characterized both under room temperature and cryogenic conditions. Furthermore, two additional technology variations with 50-nm gate length are investigated to decompose different noise mechanisms in HEMTs. Therefore, cryogenic extended Ku -band low-noise amplifiers of the investigated technologies are presented to benchmark their noise performance. Technology C with a 50-nm gate length exhibits an average effective noise temperature of 4.2 K between 8 and 18 GHz with a minimum of 3.3 K when the amplifier is cooled to 10 K. The amplifier provides an average gain of 39.4 dB at optimal noise bias. The improved noise performance has been achieved by optimization of the epitaxial structure of the 50-nm technology, which leads to low gate leakage currents and high gain at low drain current bias. To the best of the authors’ knowledge, this is the first time that an average noise temperature of 4.2 K has been demonstrated in the Ku -band.</t>
  </si>
  <si>
    <t>https://ieeexplore.ieee.org/document/9459460</t>
  </si>
  <si>
    <t>07/2021</t>
  </si>
  <si>
    <t>https://ieeexplore.ieee.org/document/9494101</t>
  </si>
  <si>
    <t>A Ka-Band SATCOM Transceiver in 65-nm CMOS With High-Linearity TX and Dual-Channel Wide-Dynamic-Range RX for Terrestrial Terminal</t>
  </si>
  <si>
    <t>Yun Wang, Dongwon You, Xi Fu, Takeshi Nakamura, Ashbir Aviat Fadila, Teruki Someya, Atsuhiro Kawaguchi, Junjun Qiu, Jian Pang, Kiyoshi Yanagisawa, Bangan Liu, Yuncheng Zhang , Haosheng Zhang , Rui Wu, Shunichiro Masaki, Daisuke Yamazaki, Atsushi Shirane, Kenichi Okada</t>
  </si>
  <si>
    <t>In this article, a Ka-band satellite communication (SATCOM) transceiver is first presented using a standard CMOS technology. The proposed Ka-band SATCOM transceiver consists of a high-linearity transmitter (TX) and dual-channel receiver (RX); both TX and RX are based on direct-conversion architecture. By implementing the dual-channel RX, multiple multiplexing modes, including polarization multiplexing and frequency multiplexing, can be enabled depending on the application. The RX variable gain is distributed in both RF blocks and baseband blocks to achieve a wide input dynamic range. The LNA employs a dual-coupling transformer for a low-noise figure (NF) and wideband input matching; moreover, it enhances the amplifier unilateralization characteristic to mitigate the loading effect from switched attenuators. An adjacent channel interference (ACI) cancellation scheme is proposed to further enhance the RX linearity in the frequency multiplexing mode. In the TX, single-turn high-quality-factor transformer is employed to realize matching network and four-way power combining. A prototype of the SATCOM transceiver is fabricated in a standard 65-nm CMOS process. Under 1.05-V supply voltage, the TX achieves a PSAT of 20.5 dBm and an average output power of 12 dBm with 2% error vector magnitude (EVM) and a 37.6-dB ACPR. The dual-channel RX achieves an NF of 5.4 dB, an IIP3 of -30 dBm on the high-gain mode, the ACI cancellation is measured of 7.9 dB with a 100-MHz signal bandwidth.</t>
  </si>
  <si>
    <t>A 22.9-38.2-GHz Dual-Path Noise-Canceling LNA With 2.65-4.62-dB NF in 28-nm CMOS</t>
  </si>
  <si>
    <t>Zhixian Deng; Jie Zhou; Huizhen Jenny Qian; Xun Luo</t>
  </si>
  <si>
    <t>In this article, a 22.9-38.2-GHz dual-path noise-canceling low noise amplifier (LNA) is proposed, which can achieve a low noise figure (NF) by reducing the noise of both paths. Such LNA consists of one common gate (CG) amplifier with one three-stage transformer, one resistive feedback common-source (CS) amplifier, and two amplitude-adjusting amplifiers. The three-stage transformer is used in the CG amplifier to provide gain-boosting, noise-reducing, and wideband inter-stage matching operation, simultaneously. Meanwhile, amplitude-adjusting amplifiers with reconfigurable phase-tuning lines are utilized in both paths to optimize the noise-canceling performance. To verify the aforementioned principle, a dual-path noise-canceling LNA is implemented and fabricated using a conventional 28-nm CMOS technology. The proposed LNA consumed 18.9 mW under a 0.9-V supply. The measured NF is 2.65-4.62 dB within the operating frequency range of 22.9-38.2 GHz, while the peak gain is 14.5 dB. The in-band input 1-dB compression point (IP 1dB ) and input third-order intercept point (IIP3) are -13.2 to -6.6 and -3.6 to 3.2 dBm, respectively.</t>
  </si>
  <si>
    <t>https://ieeexplore.ieee.org/document/9512554</t>
  </si>
  <si>
    <t>09-2021</t>
  </si>
  <si>
    <t>3.9-9.2</t>
  </si>
  <si>
    <t>2.8-10.7</t>
  </si>
  <si>
    <t>2.3-10.9</t>
  </si>
  <si>
    <t>8-13.4</t>
  </si>
  <si>
    <t>9.2-12</t>
  </si>
  <si>
    <t>10-14.5</t>
  </si>
  <si>
    <t>10-16.5</t>
  </si>
  <si>
    <t>9.8-15.3</t>
  </si>
  <si>
    <t>7.0-11</t>
  </si>
  <si>
    <t>3.5-8.2</t>
  </si>
  <si>
    <t>2.4-9.6</t>
  </si>
  <si>
    <t>This article reports on the first demonstration of distributed amplifier monolithic microwave integrated circuits (MMICs) with a bandwidth (BW) of more than 300 GHz. The three presented circuits utilize a uniform traveling-wave amplifier topology with six, eight, and ten unit cells, respectively. In this article, the impact of the connection between the gate line and the transistors on the achievable performance is investigated. It is demonstrated that a short connection clearly provides a more favorable combination of BW, input matching, and losses on the gate line. Thus, it is possible to extend the BW beyond 300 GHz while utilizing transistors with a gate width of 2×10μm . The MMICs are fabricated in a 35-nm gate-length InGaAs metamorphic high-electron-mobility transistor technology. The MMIC with six unit cells exhibits a noise figure (NF) between 3.5 and 8.2 dB for a noise-optimized bias from 1 GHz up to the measurement limit of 308 GHz. The MMIC with ten unit cells achieves a minimum NF of 2 dB for frequencies of around 50 GHz and stays below 10 dB for the entire band. Furthermore, for a power-optimized bias, the same circuit generates an output power between 8.7 and 14.8 dBm for a frequency range from 1 to 250 GHz.</t>
  </si>
  <si>
    <t>2.0-10</t>
  </si>
  <si>
    <t>A 140 GHz T/R Front-End Module in 22 nm FD-SOI CMOS</t>
  </si>
  <si>
    <t>Xinyan Tang; Johan Nguyen; Giovanni Mangraviti; Zhiwei Zong; Piet Wambacq</t>
  </si>
  <si>
    <t>This paper presents a D-band front-end module (FEM) with an integrated transmit/receive (T/R) switch in 22-nm fully-depleted silicon on insulator (FD-SOI) CMOS technology for beyond-5G communication. The asymmetric T/R switch topology with intrinsic ESD protection leverages the Tx- and Rx-mode RF performance. Both the PA and LNA have a differential topology with transformer-based matching networks to eliminate unwanted effects from common-mode parasitics, especially at the antenna port. The adopted stacked-FET PA achieves a high output power while consuming much less area than a PA based on passive power combining. At 140 GHz, the Tx achieves a power gain Gp of 33.6 / 35.7 dB, a saturated output power Psat of 12.5 / 14.7 dBm, a peak power-added efficiency PAE of 10.8 / 11.3%, and output 1-dB compression point (OP1dB) of 9.4 / 11.2 dBm with nominal/boosted supplies. At 140 GHz, the Rx achieves a 20-dB Gp , a −24-dBm input 1-dB compression point (IP1dB), and a 9.2-dB noise figure (NF) with only 20-mW power consumption from a 0.8-V supply. This compact FEM has a PA / LNA core area of 0.024 / 0.032 mm 2 , respectively.</t>
  </si>
  <si>
    <t>https://ieeexplore.ieee.org/document/9490470</t>
  </si>
  <si>
    <t>A Millimeter-Wave LNA in 45nm CMOS SOI with Over 23dB Peak Gain and Sub-3dB NF for Different 5G Operating Bands and Improved Dynamic Range</t>
  </si>
  <si>
    <t>Sensen Li; Tzu-Yuan Huang; Yuqi Liu; Hyunjin Yoo; Yoosam Na; Youngsik Hur; Hua Wang</t>
  </si>
  <si>
    <t>This paper presents a variable gain CMOS low-noise amplifier (LNA) with high gain and low noise figure, aiming at 5G communication. The LNA is based on a 3-stage inductively degenerated amplifier with the first stage as common-source amplifier for optimized overall noise performance, and the following two stages as cascode amplifiers for a higher gain and reverse isolation. Variable gain control with an amplification-bypass mode is implemented, facilitating the LNA/receiver to cope with the significantly different power level and thus maximizing its operation dynamic range. Two designs are implemented following the same principle, with one covering N257/258 band and the other one targeting N260 band. Both designs achieve over 23dB peak power gain with below 3dB noise figure. Variable gain control is demonstrated with more than 15dB gain tuning range over frequencies. The LNA linearity is also characterized in measurement, showing an in-band IIP3 of -9.3dBm at 24.25GHz (N257/258 LNA) and −12.9dBm at 40GHz (N260 LNA).</t>
  </si>
  <si>
    <t>https://ieeexplore.ieee.org/document/9490455</t>
  </si>
  <si>
    <t>A 290 GHz Low Noise Amplifier Operating above fmax/2 in 130 nm SiGe Technology for Sub-THz/THz Receivers</t>
  </si>
  <si>
    <t>Sumit Pratap Singh; Timo Rahkonen; Marko E. Leinonen; Aarno Pärssinen</t>
  </si>
  <si>
    <t>A 22.2-43 GHz Gate-Drain Mutually Induced Feedback Low Noise Amplifier in 28-nm CMOS</t>
  </si>
  <si>
    <t>Ali Ershadi; Samuel Palermo; Kamran Entesari</t>
  </si>
  <si>
    <t>A novel mm-wave low-noise-amplifier (LNA) architecture capable of achieving simultaneous power and noise matching over a large bandwidth is proposed. It is shown that by magnetically coupling a pair of inductors connected at the gate and drain of a transistor, a loss-less (series-series) feedback path from the drain-current to the gate is generated which: 1) Increases the transistor input impedance magnitude, 2) generates a real-impedance part which can be controlled for power-matching, and 3) brings the optimum noise source impedance close to the optimum power matching impedance. The prototype is fabricated in TSMC 28-nm bulk CMOS process. The measured chip is functional from 22.2 to 43 GHz, while providing 21 dB of peak gain, minimum NF of 3.5 dB, and an average IIP3 of −3 dBm.</t>
  </si>
  <si>
    <t>https://ieeexplore.ieee.org/document/9490469</t>
  </si>
  <si>
    <t>This paper presents the design of a low noise amplifier (LNA) operating at center frequency 290 GHz in 130 nm SiGe BiCMOS technology with ft/fmax of 300 GHz/450 GHz. The LNA consists of four stages of pseudo-differential cascode topology. Each stage is tuned and matched at different resonant frequency to obtain broadband frequency response around center frequency. This LNA provides 12.9 dB of gain at center frequency 290 GHz and 11.2 dB at 300 GHz. The 3-dB bandwidth is measured to be 23 GHz and simulated noise figure is 16 dB. The LNA draws 68 mA current from 2V supply. It shows the potential of silicon technologies to operate as high as 2/3(fmax) with decent gain and linearity at 300 GHz range. To the authors' knowledge, this LNA achieves, without any gain-boosting technique, the highest gain at 2/3(fmax) in SiGe technology.</t>
  </si>
  <si>
    <t>https://ieeexplore.ieee.org./document/9490435</t>
  </si>
  <si>
    <t>A 10–110 GHz LNA with 19-25.5 dB Gain and 4.8-5.3 dB NF for Ultra-Wideband Applications in 90nm SiGe HBT Technology</t>
  </si>
  <si>
    <t>Oguz Kazan; Gabriel M. Rebeiz</t>
  </si>
  <si>
    <t>This paper presents a broadband differential low-noise amplifier (LNA) at 10–110 GHz. The four-stage LNA is realized using 90 nm SiGe BiCMOS process having a 300 GHz f T HBT. Resistive feedback is used for operation at 10–50 GHz, and a wideband collector load with a linear impedance increase versus frequency compensates for the transistor output capacitance and guarantees a monotonic increase in the gain from 60 to 100 GHz. The LNA has a measured small-signal gain of 19-25.5 dB and the measured noise figure (NF) is 4.8-5.3 dB at 10–50 GHz. The LNA also achieves an output-referred 1dB compression point (OP1dB) of −3.3 dBm at 66 GHz. The differential LNA consumes 96 mW (48 mW half circuit) with an active circuit area of 1.3×0.6 mm2 . Application areas are in wideband receivers and in wideband microwave and millimeter-wave instrumentation systems.</t>
  </si>
  <si>
    <t>https://ieeexplore.ieee.org/document/9490504</t>
  </si>
  <si>
    <t>08/2021</t>
  </si>
  <si>
    <t>A 230-GHz SiGe Amplifier With 21.8-dB Gain and 3-dBm Output Power for Sub-THz Receivers</t>
  </si>
  <si>
    <t>Huanbo Li; Jixin Chen; Debin Hou; Zekun Li; Peigen Zhou; Wei Hong</t>
  </si>
  <si>
    <r>
      <t xml:space="preserve">This letter presents a 230-GHz high-gain amplifier implemented in a 0.13- </t>
    </r>
    <r>
      <rPr>
        <i/>
        <sz val="13.2"/>
        <color theme="1"/>
        <rFont val="MathJax_Math"/>
      </rPr>
      <t>μ</t>
    </r>
    <r>
      <rPr>
        <sz val="13.2"/>
        <color theme="1"/>
        <rFont val="MathJax_Main"/>
      </rPr>
      <t>m</t>
    </r>
    <r>
      <rPr>
        <sz val="11"/>
        <color theme="1"/>
        <rFont val="Calibri"/>
        <family val="2"/>
        <scheme val="minor"/>
      </rPr>
      <t xml:space="preserve"> SiGe BiCMOS technology. The amplifier consists of a single-ended cascode (CC) stage for noise optimization and two differential CC stages for power capacity consideration. A symmetrical peripheral interconnection with self-shielded bypass capacitors for gm-boosting technique realization is employed to overcome the low inherent gain. The noise components of CC transistors are investigated and a parallel-inductor-based noise reduction technique is adopted to improve the noise figure (NF). The proposed amplifier provides a measured gain of 21.8-dB at 232 GHz with a 3-dB bandwidth of 35 GHz and a simulated NF of 10.5 dB at 230 GHz. The measured output power and maximum power-added efficiency (PAE) at 225 GHz is 3.5 dBm and 2.9%, respectively. The amplifier occupies a small area of 0.154 mm </t>
    </r>
    <r>
      <rPr>
        <vertAlign val="superscript"/>
        <sz val="11"/>
        <color theme="1"/>
        <rFont val="Calibri"/>
        <family val="2"/>
        <scheme val="minor"/>
      </rPr>
      <t>2</t>
    </r>
    <r>
      <rPr>
        <sz val="11"/>
        <color theme="1"/>
        <rFont val="Calibri"/>
        <family val="2"/>
        <scheme val="minor"/>
      </rPr>
      <t xml:space="preserve"> and consumes a moderate power of 66 mW. Remarkable performances including gain, NF, bandwidth, and output power enable the amplifier to be adopted as either a low noise amplifier (LNA) or a driver amplifier in the sub-terahertz (sub-THz) receivers.</t>
    </r>
  </si>
  <si>
    <t>https://ieeexplore.ieee.org/document/9459702</t>
  </si>
  <si>
    <t>6.7–15.3 GHz, High-Performance Broadband Low-Noise Amplifier With Large Transistor and Two-Stage Broadband Noise Matching</t>
  </si>
  <si>
    <t>Han-Woong Choi; Choul-Young Kim; Sunkyu Choi</t>
  </si>
  <si>
    <t>This letter presents a fully integrated wideband, ultralow average noise figure (NF), low power consumption, compact, and electrostatic discharge protected 6.7–15.3-GHz low-noise amplifier (LNA). A peak-gain distribution technique with a large transistor and two-stage broadband noise matching technique are proposed. For verification, a two-stage common source LNA is implemented in a 65-nm bulk complementary metal–oxide–semiconductor technology. The fabricated LNA achieved an average NF of 2.08 dB and an average gain of 19.1 dB with in-band gain ripple of ±0.75 dB in the frequency range of 7.6–14.7 GHz. It has a 3-dB fractional bandwidth of 78% and the third-order input intercept point is −9.0 dBm at 10 GHz. It consumes a 16 mA at a 0.8-V supply and has an area of 0.144 mm 2 .</t>
  </si>
  <si>
    <t>https://ieeexplore.ieee.org/document/9466114</t>
  </si>
  <si>
    <t>A 0.4-V High-Gain Low-Noise Amplifier Using a Variable-Frequency Image-Rejection Technology</t>
  </si>
  <si>
    <t>Jian-Yu Hsieh; Hsueh-Chien Kuo</t>
  </si>
  <si>
    <t>A 0.4-V high-gain low-noise amplifier using a variable-frequency image-rejection technology in TSMC 0.18-μm CMOS process has been proposed. By using forward body biasing and folded topology, the supply voltage and power consumption can be reduced. For achieving low power consumption and small chip area, a feedback capacitor is used to shrink the size of the inductors of the input impedance matching. Moreover, a gain-enhancement-and-image-rejection circuit including an inductor and a variable capacitor is proposed for achieving gain enhancement and image rejection simultaneously. The image-rejection frequency can be altered for avoiding strong image signals by the variable capacitor. The proposed low-noise amplifier shows the measured results including a 15-dB power gain, a 2.6-dB noise figure and a -13-dBm input third-order intercept point at 2.4 GHz, respectively. And the measured variable image rejection ratio ranges from 14 dBc to 39 dBc around 3 GHz to 3.6 GHz for avoiding strong image signals. The measured PDC is 0.8-mW.</t>
  </si>
  <si>
    <t>https://ieeexplore.ieee.org/document/9490679</t>
  </si>
  <si>
    <t>Robust GaN based LNAs with active epitaxial current limiters</t>
  </si>
  <si>
    <t>Shiyong Zhang; Li Liu; Jianxing Xu; Rong Wang; Penghui Zheng; Hanbin Wang; Ming Li; Xin Kong; Xiaodong Tong</t>
  </si>
  <si>
    <t>In this letter, the current limiters fabricated by the Gallium Nitride (GaN) active epitaxial layers are introduced to achieve GaN based robust low noise amplifiers (LNAs). In principle, by taking the advantage of the current saturation effect, the gate DC current which causes gate degradation or breakdown can be controlled below the breakdown limit at any input level. The active current limiter can also reduce the on-state degradation by reducing the drain current. Two designs of robust LNAs in Ka-band are presented. The LNA1 has current limiters in gate regions, and the LNA2 has current limiters in both gate and drain regions. Both LNAs survive in a 1 hour stress experiment with 32-30.5 dBm input power. After the stress experiment, both LNAs show little degradation in noise figure; and the LNA2 shows little degradation in gain because of the drain current limiter.</t>
  </si>
  <si>
    <t>https://ieeexplore.ieee.org/document/9521154</t>
  </si>
  <si>
    <t>FM (noise measure)</t>
  </si>
  <si>
    <t>PL (linearity measure)</t>
  </si>
  <si>
    <t>FOM_N</t>
  </si>
  <si>
    <t>FOM_S</t>
  </si>
  <si>
    <t>FOM_D</t>
  </si>
  <si>
    <t>FOM^BW_D</t>
  </si>
  <si>
    <t>Limit for FOM_N</t>
  </si>
  <si>
    <t>Freq</t>
  </si>
  <si>
    <t>Min</t>
  </si>
  <si>
    <t>Max</t>
  </si>
  <si>
    <t>Limit line</t>
  </si>
  <si>
    <t>Limit for FOM_D</t>
  </si>
  <si>
    <t>Limit for FOM_S</t>
  </si>
  <si>
    <t>Limit for FOM^BW_D</t>
  </si>
  <si>
    <t>Updated data to this date and included new CMOS FOMs: FOM_N, FOM_S, FOM_D, FOM^BW_D</t>
  </si>
  <si>
    <t>FOM_N, FOM_S, FOM_D, FOM^BW_D are explained in:</t>
  </si>
  <si>
    <t>L. Belostotski and E. A. M. Klumperink, "Figures of Merit for CMOS Low-Noise Amplifiers and Estimates for Their Theoretical Limits," in IEEE Transactions on Circuits and Systems II: Express Briefs, doi: 10.1109/TCSII.2021.3113607.</t>
  </si>
  <si>
    <t>A 7.2-27.3 GHz CMOS LNA With 3.51 ±0.21 dB Noise Figure Using Multistage Noise Matching Technique</t>
  </si>
  <si>
    <t>Hongchen Chen; Haoshen Zhu; Liang Wu; Quan Xue; Wenquan Che</t>
  </si>
  <si>
    <t>A wideband low-noise amplifier (LNA) with low and flat noise figure (NF) is presented in this article. For conventional wideband noise matching, the noise performance in the high-frequency region of the entire wideband is usually deteriorated due to the frequency-dependent nature of the minimum noise figure (NF min ) for a MOSFET. To address this issue, a novel wideband noise matching approach aiming at noise matching in high band is proposed. This approach can reduce the NF in high band at the cost of a slight NF increase in low band, eventually achieving a low and flat NF and thus a better overall noise performance for a wideband LNA. In addition, the multistage noise matching technique is employed at high frequencies to further reduce the NF caused by the second amplification stage. To validate the proposed techniques, a two-stage LNA prototype was designed and fabricated using a 65 nm CMOS process. The experimental results indicate a peak gain of 16.6 dB with a -3 dB bandwidth (BW) from 7.2 to 27.3 GHz (a fractional BW of 116%). Within the entire band of interest, the simulated NF is low and almost constant (3.3-3.4 dB), while the measured NF falls within the range of 3.30-3.72 dB. Considering the uncertainty of NF measurement, a 0.21 dB NF flatness is one of the best results among the reported millimeter-wave wideband LNAs. The measured third-order input intercept point (IIP3) is -6 dBm at 20 GHz, while the power consumption is 13.2 mW. In addition, only two passive transformers are used in this design, leading to a compact chip core area (0.14 mm²)</t>
  </si>
  <si>
    <t>https://ieeexplore.ieee.org/document/9598862</t>
  </si>
  <si>
    <t>Analysis and Design of a CMOS LNA With Transformer-Based Integrated Notch Filter for Ku-Band Satellite Communications</t>
  </si>
  <si>
    <t>Jiajun Zhang; Dixian Zhao; Xiaohu You</t>
  </si>
  <si>
    <t>A transformer-based notch filter is proposed in this article. The notch filter is integrated into a three-coil transformer in the matching network. While the primary coil and the secondary coil build a magnetically coupled resonator (MCR) and transfer the in-band signal to the next stage, the tertiary coil is coupled with the primary coil to absorb the interferers. Resonating with the switched capacitors, the notch frequency can be tuned digitally. A cross-coupled pair can further enhance the quality factor of the tank and, therefore, the rejection level. A low-noise amplifier (LNA) for Ku-band satellite communication with the proposed notch filter is implemented in 65-nm CMOS to verify the theory. The LNA achieves a measured power gain of 19.5 dB at 12.2 GHz with a -3-dB bandwidth of 9.2-12.7 GHz. The LNA can achieve 13.5-dB gain suppression at 13.9 GHz. The suppression level can be enhanced by tuning the quality factor of the active notch filter, which consumes up to 0.6 mW. The noise figure (NF) is 2.3 dB at 10.6 GHz and the NF is below 2.7 dB from 9.2 to 12.7 GHz. The input return loss is better than -15 dB from 8.8 to 18.5 GHz. The LNA consumes 5.9 mW from a 1-V supply. The whole chip occupies an area of 1000 x 800 μm².</t>
  </si>
  <si>
    <t>https://ieeexplore.ieee.org/document/9623367</t>
  </si>
  <si>
    <t>11/2021</t>
  </si>
  <si>
    <t>07/06/2021</t>
  </si>
  <si>
    <t>5.9-7.1GHz High-Linearity LNA Using Innovative 3D Device Level Co-Integration of GaN HEMT and RF-SOI</t>
  </si>
  <si>
    <t>Jérôme Loraine; Hassan Saleh; Frédéric Drillet; Ousmane Sow; Imene Lahbib; Gregory U'Ren</t>
  </si>
  <si>
    <t>This paper presents the characterization results of a high-linearity LNA designed for the n96 5G frequency band (5.9 - 7.1 GHz). It is based on a 3D heterogeneous integration of GaN HEMT and RF-SOI technologies combining the advantages of both. The LNA amplifying cell is composed of a common source RF-SOI NMOS and a common gate GaN HEMT. The chip is mounted on a PCB and characterized in both small and large signal. The overall performance is well predicted by simulation. The gain is 15.7dB, the input and output are well matched to 500 and the NF is 2.1dB at 6.5GHz. From 6.9 to 7.1GHz, the OIP3 is 28dBm and the OCPI is 13.7dBm. This performance is obtained with a low power consumption of 77.2mW.</t>
  </si>
  <si>
    <t>https://ieeexplore.ieee.org/document/9574971</t>
  </si>
  <si>
    <t>A Ka-Band Transformer-Based Switchless Bidirectional PA-LNA in 90-nm CMOS Proces</t>
  </si>
  <si>
    <t>Tzu-Yang Chiu; Yunshan Wang; Huei Wang</t>
  </si>
  <si>
    <t>This paper presents a switchless bidirectional power amplifier-low noise amplifier (PA-LNA) in 90-nm CMOS process for millimeter-wave (mm-wave) phased-array front-end chip. This PA-LNA uses current-type transformer (TF) as a bidirectional matching network for PA and LNA inputs/outputs without using lossy T/R switches. As a side benefit, avoiding the use of the T/R switches not only saves the chip area, but also prevents performance degradation in PA and LNA modes. The proposed PA-LNA achieves peak small-signal gain of 18.3 dB and 17.6 dB in PA and LNA mode, respectively. In the PA mode, it achieves the measured peak saturated output power (Psat) of 15.1 dBm with 29 % peak power-added efficiency (PAE MAX ) and 13.3 dBm peak 1-dB output power (OP 1dB ) at 33 GHz, while LNA mode achieves minimum noise figure (NF) of 4.7 dB at 36 GHz. The reverse isolation in both modes is better than 43 dB. The core size without pads is 0.21 mm 2 .</t>
  </si>
  <si>
    <t>https://ieeexplore.ieee.org/document/9574916</t>
  </si>
  <si>
    <t>A CMOS LNA with Transformer-Based Integrated Notch Filter for Ku-Band Satellite Communications</t>
  </si>
  <si>
    <t>A low-noise amplifier (LNA) for Ku-band satellite communications with transformer-based integrated notch filter is implemented in 65-nm CMOS. The notch filter is integrated in a 3-coil transformer in the matching network. While the primary coil and the secondary coil build a magnetically coupled resonator (MCR) and achieve wideband inter-stage matching, the tertiary coil is coupled with the primary coil to attenuate the interferers. The LNA exhibits a measured power gain of 19.5 dB at 12.2 GHz with a −3-dB bandwidth of 9.2-12.7 GHz. With Q- enhancement circuit, the LNA achieves up-to-50-dB gain suppression. The noise figure (NF) is 2.3 dB at 10.6 GHz and below 2.7 dB from 9.2 to 12.7 GHz. The input return loss is better than −15 dB from 8.8 to 18.5 GHz. The LNA consumes 5.9-6.5 mW from a 1-V supply.</t>
  </si>
  <si>
    <t>https://ieeexplore.ieee.org/document/9574824</t>
  </si>
  <si>
    <t>A Frequency and Bandwidth Reconfigurable 3–6 GHz Cryogenic SiGe BiCMOS LNA with a Power Consumption of ≤ 2.9 mW</t>
  </si>
  <si>
    <t>Zhenjie Zou; Mohsen Hosseini; Randy Kwende; Sanjay Raman; Joseph C. Bardin</t>
  </si>
  <si>
    <t>A 3–6 GHz reconfigurable SiGe cryogenic low-noise amplifier has been designed, fabricated, and tested. The integrated circuit features a broadband input-stage followed by a pair of buffered reconfigurable second-order systems. When characterized at a physical temperature of 15K and configured for a broadband response (3–6 GHz), we find that it provides in excess of 35 dB of gain while achieving an average noise temperature of 4.3K from 3–6 GHz and dissipating 1.8mW. By changing the states of the digitally controllable second-order systems and on-chip digital-to-analog-converter-based bias generators, we show that the amplifier can be tuned in both bandwidth and center frequency while maintaining similar performance specifications to those achieved in the broadband mode of operation. In all cases, the power consumption of the amplifier is lower than 2.9mW. To the best of the authors' knowledge, this is the first digitally programmable cryogenic low-noise amplifier reported to date.</t>
  </si>
  <si>
    <t>https://ieeexplore.ieee.org/document/9574918</t>
  </si>
  <si>
    <t>A Broadband Variable Gain Low Noise Amplifier Covering 28/38 GHz bands with Low Phase Variation in 90-nm CMOS for 5G Communications</t>
  </si>
  <si>
    <t>Kai-Chun Chang; Yunshan Wang; Huei Wang</t>
  </si>
  <si>
    <t>This paper presents a broadband, variable gain low noise amplifier (VGLNA) with low phase variation in 90-nm CMOS technology. The cascaded PMOS gain-boosting current steering VGA and a modified current steering VGA with the inductive phase-inversion network is utilized to compensate phase variation within the gain control range (GCR). In order to enhance overall gain of the circuit, gm-boosting and single-ended neutralization techniques are applied to the circuit. The VGLNA exhibits a peak gain of 21.4 dB at 37 GHz, 3-dB bandwidth covering from 26 to 30.5 GHz (band1) and 33.8 to 40.6 GHz (band2), respectively. An RMS phase error less than 4.3° and the maximum phase variation of 7.2° are achieved within the 9.8-dB gain control range (GCR) in the 3-dB bandwidth. The noise figure is 4.7 dB at 36 GHz in the maximum gain state. The chip consumes 17.9 mW dc power from 1-V voltage supply. To the author's knowledge, this circuit shows the highest figure-of-merit (FOM) among previous published CMOS VGAs with low phase variation design.</t>
  </si>
  <si>
    <t>https://ieeexplore.ieee.org/document/9574991</t>
  </si>
  <si>
    <t>A 0.6-V VDD, 3.8-dB Minimum Noise Figure, 19.5-62.5-GHz Low Noise Amplifier in 28-nm Bulk CMOS</t>
  </si>
  <si>
    <t>Chia–Jen Liang; Ching–Wen Chiang; Jia Zhou; Chao–Jen Tien; Rulin Huang; Kuei–Ann Wen; Mau–Chung Frank Chang; Yen–Cheng Kuan</t>
  </si>
  <si>
    <t>This paper presents a millimeter-wave (mmWave) ultra-wideband low-power low noise amplifier (LNA) that supports the entire 5G FR2 (24.25-52.6 GHz) and beyond. An auxiliary amplifier is exploited to extend the bandwidth with the required input return loss (S11) and high matching gain for suppressing noise of subsequent stages. In addition, gain peaking at the low/mid band (&lt; 30/30-45 GHz) and impedance matching at the high band (&gt; 45 GHz) are used jointly to increase the operating frequency range. Furthermore, large-valued inductors with high self-resonant frequencies (SRFs) are achieved through a cascode spiral structure. This LNA is fabricated in a 28-nm bulk CMOS technology. At a 0.6-V supply voltage (V DD ) applied on the main stages, this LNA achieves an 18.4-dB flat power gain, a 3.8-5.7-dB noise figure (NF), and a &lt; −6-dB S 11 over 19.5-62.5 GHz (BW 3dB ) while consuming 13.7 mW. This LNA occupies 0.25 mm 2 and features ESD protection.</t>
  </si>
  <si>
    <t>https://ieeexplore.ieee.org/document/9574964</t>
  </si>
  <si>
    <t>A baseband-65GHz High Linearity-Bandwidth GaN LNA using a 1.7A/mm High Current Density ScAlN based GaN HEMT Technology</t>
  </si>
  <si>
    <t>Kevin W. Kobayashi; Vipan Kumar; Andy Xie; Jose L. Jimenez; Ed Beam; Andrew Ketterson</t>
  </si>
  <si>
    <t>This paper describes the design and measured performance of a baseband-65GHz high linearity-bandwidth GaN MMIC low noise amplifier based on a 90nm ScAlN GaN HEMT technology. The GaN technology is characterized by a peak f T of 130 GHz and a high Id max current density of 1.7A/mm enabled by a ScAlN barrier. The LNA is comprised of a cascode distributed amplifier with a low-noise active gate-termination. The amplifier achieves 10.8-13.9dB of gain and a NF of 1.65-2.5dB is obtained from 1 to 30GHz, &lt; 3 dB up to 43GHz, and &lt; 4.1dB up to 50GHz. IP3 of 35.3-37.6 dBm was also obtained over a 2-45GHz frequency. Due to the high f T and Id max of ScAlN HEMTs an IP3-BW of 152.5 W-GHz was achieved which is believed to be the best reported for GaN DAs without circuit linearization techniques. The ability to provide low noise and high linearity over a broad band from a single MMIC is attractive for future reconfigurable radio architectures.</t>
  </si>
  <si>
    <t>https://ieeexplore.ieee.org/document/9575038</t>
  </si>
  <si>
    <t>Low Power 75–110 GHz SiGe Dicke Radiometer Front-End</t>
  </si>
  <si>
    <t>Roee Ben Yishay; Danny Elad</t>
  </si>
  <si>
    <t>This paper presents a low-noise and low power calibrated radiometer (Dicke-radiometer), operating at 75–110 GHz and developed in 0.12 µm SiGe BiCMOS technology. The chip consists of single-pole double-throw (SPDT) switch, low noise amplifier (LNA) and power detector (PD). The four-stage LNA provides 35.5 dB peak gain with 3 dB bandwidth of more than 35 GHz and noise figure of 5.5 dB. The SPDT shows measured insertion loss of 1.6 dB and an isolation of 24 dB at 94 GHz. The square-law power detector achieves responsivity of 25 kV/W and 1.4 pW/ √ Hz noise equivalent power (NEP). The integrated receiver results in peak responsivity of 59 MV/W, 4.8 fW/√ Hz NEP and temperature resolution (NETD) of 0.1 K with 23.9 mW power consumption</t>
  </si>
  <si>
    <t>https://ieeexplore.ieee.org/document/9575002</t>
  </si>
  <si>
    <t>A 1 mW 0.1-3 GHz Cryogenic SiGe LNA with an Average Noise Temperature of 4.6 K</t>
  </si>
  <si>
    <t>Mohsen Hosseini; Joseph C. Bardin</t>
  </si>
  <si>
    <t>A 0.1-3 GHz integrated cryogenic LNA exploiting SiGe HBT has been designed and implemented. The cryogenic performance of the HBT technology is investigated and a bias dependent small-signal noise model is extracted. An amplifier achieving a 4.6 K average noise temperature and 30.5 dB average gain over the desired frequency band is designed and measured at a physical temperature of 15 K. The amplifier consumes just 1 mW of dc power, which is about an order of magnitude lower than previous broadband SiGe cryogenic LNAs.</t>
  </si>
  <si>
    <t>https://ieeexplore.ieee.org/document/9574993</t>
  </si>
  <si>
    <t>12/2021</t>
  </si>
  <si>
    <t>A 50-67-GHz Ultralow-Power LNA Using Double-Transformer-Coupling Technique and Self-Resonant Matching in 90-nm CMOS</t>
  </si>
  <si>
    <t>Mu-Heng Li; Yunshan Wang; Huei Wang</t>
  </si>
  <si>
    <t>In this letter, a V-band (50-75 GHz) ultralow-power low-noise amplifier (LNA) in 90-nm CMOS technology is presented. A double-transformer-coupling (DTC) technique is used to improve the gain and noise performance of the LNA. The combination of self-resonant-transformer-matching (SRTM) and gain-boosting technique is also utilized to achieve wideband output matching with high gain in a single-ended common-source (CS) amplifier. The measured small-signal gain is 16.8 dB with 3-dB bandwidth that covers from 50 to 67 GHz and the measured lowest in-band noise figure (NF) of 5.4 dB. The LNA consumes only 5.7 mW with a compact chip area of 0.6 x 1 mm².</t>
  </si>
  <si>
    <t>https://ieeexplore.ieee.org/document/9552451</t>
  </si>
  <si>
    <t>A 13.7-mW 21-29-GHz CMOS LNA With 21.6-dB Gain and 2.74-dB NF for 28-GHz 5G System</t>
  </si>
  <si>
    <t>We demonstrate a low-power ( PD ) and high-gain 21-29-GHz low-noise amplifier (LNA) in 90-nm CMOS for 28-GHz 5G systems. Current-reused architecture is adopted for low PD . Gain-boosting and body-floating techniques are used for gain and NF enhancement. The LNA consumes 13.7 mW and achieves prominent S₂₁ of 21.6 dB, 3-dB bandwidth of 8.1 GHz (21.2-29.3 GHz), minimum noise figure (NF min) of 2.74 dB, average NF (NF ave) of 2.99 dB for 21-29 GHz, and figure of merit (FOM) of 61.7 GHz. Moreover, the LNA achieves input third-order intercept point (IIP3) of -9 dBm at 28 GHz. The chip size is only 0.348 mm². To the authors' knowledge, the NF and FOM performance are one of the best results ever reported for millimeter-wave CMOS LNAs with bandwidth greater than 7 GHz and PD lower than 15 mW.</t>
  </si>
  <si>
    <t>https://ieeexplore.ieee.org/document/9597551</t>
  </si>
  <si>
    <t>An FR4-Based K-Band 1.0-dB Noise Figure LNA Using SISL Technology</t>
  </si>
  <si>
    <t>Jin Zhang; Kaixue Ma; Yongqiang Wang; Keping Wang</t>
  </si>
  <si>
    <t>This letter presents an ultralow noise K-band low-noise amplifier (LNA) using substrate integrated suspended line (SISL) technology. A simplified, purely distributed parameter matching network is utilized for simultaneous noise and impedance matching. Different from standard chip-level circuits, a K-band LNA based on board-level platform with low-cost FR4 is proposed. Using the high-Q value of the SISL platform, this LNA shows the advantages of high-power gain, ultralow noise, and self-packaging. According to the measurement, the proposed LNA achieves a 27.7-dB small signal gain with 2.4-GHz 3-dB bandwidth (25-27.4 GHz) and noise figure (NF) of 1.0 dB with 20-mW power dissipation.</t>
  </si>
  <si>
    <t>CEL</t>
  </si>
  <si>
    <t>https://ieeexplore.ieee.org/document/9613735</t>
  </si>
  <si>
    <t>Early Access</t>
  </si>
  <si>
    <t>A 300-GHz Low-Noise Amplifier in 130-nm SiGe SG13G3 Technology</t>
  </si>
  <si>
    <t>Ahmed Gadallah; Mohamed Hussein Eissa; Thomas Mausolf; Dietmar Kissinger; Andrea Malignaggi</t>
  </si>
  <si>
    <t>This work presents a 300-GHz low-noise amplifier (LNA) in a SiGe:C 130-nm BiCMOS technology, featuring ft/fmax of 470/700 GHz. The designed amplifier uses three cascaded stages in a pseudo-differential cascode topology with input and output baluns facilitating single-ended measurements. The first stage is matched trading off noise and gain performance, while a T-type output matching network is used for broadband matching. The interstage matching is performed using center tap transformers. On-wafer measurements show that the designed LNA has a peak small-signal gain of 10.8 dB at 325 GHz, along with a 3-dB bandwidth of 68 GHz and an input 1-dB compression point of -15.6 dBm at 287.5 GHz. The simulated noise figure is better than 12.7 dB over the required band. The circuit occupies 0.26-mm² silicon area and consumes 119 mW from a 3.3-V supply.</t>
  </si>
  <si>
    <t>https://ieeexplore.ieee.org/document/9629287</t>
  </si>
  <si>
    <t>Removed the following paper as it does not discuss an "LNA": H. Shao etal, "A 1.7-3.6 GHz 20 MHz-Bandwidth Channel-Selection N-Path Passive-LNA Using a Switched-Capacitor-Transformer Network Achieving 23.5 dBm OB-IIP₃ and 3.4-4.8 dB NF," in IEEE Journal of Solid-State Circuits, doi: 10.1109/JSSC.2021.3129744.</t>
  </si>
  <si>
    <t>1/2022</t>
  </si>
  <si>
    <t>Dual-Resistive Feedback Wideband LNA for Noise Cancellation and Robust Linearization</t>
  </si>
  <si>
    <t>Tae-Yeoul Yun</t>
  </si>
  <si>
    <t>Phuoc B. T. Huynh; Jeong-Hyun Kim; Tae-Yeoul Yun</t>
  </si>
  <si>
    <t>Input-matching, gain, noise figure (NF), linearity, and power consumption are crucial performance metrics that are tightly coupled in a typical low-noise amplifier (LNA). In this article, a self-forward-body-bias (SFBB) inverter-based dual-resistive feedback structure incorporating a linearity feedback-bias scheme with optimal transistor size is proposed to address the performance trade-offs for improving gain, NF, and linearity with minor impacts on other performance characteristics. The proposed structure cancels the noise and nonlinearity of the input stage simultaneously, and partially improves the noise and nonlinearity of the output stage, as shown in theoretical analyses and simulations. In contrast to the conventional linearization technique, the resulting linearity improvement is robust against process, voltage, and temperature variations. Fabricated in a 65 nm triple-well RF complementary MOS (CMOS) process, the proposed LNA achieves a minimum NF of 1.56 dB and power gain of 12.8 dB over a 3 dB bandwidth of 0.02-2.6 GHz while consuming 6 mW from a low supply voltage of 0.9 V. The measured input second- and third-order intercept points (IIP2 and IIP3) are 29.5 and 2 dBm at 1 GHz, respectively.</t>
  </si>
  <si>
    <t>Area [mm^2] no tespads/active area/chip area</t>
  </si>
  <si>
    <t>https://ieeexplore.ieee.org/document/9678957</t>
  </si>
  <si>
    <t>02/2022</t>
  </si>
  <si>
    <t>A Wideband E/W-Band Low-Noise Amplifier MMIC in a 70-nm Gate-Length GaN HEMT Technology</t>
  </si>
  <si>
    <t>Fabian Thome; Peter Brückner; Stefano Leone; Rüdiger Quay</t>
  </si>
  <si>
    <t>This article reports on a gallium-nitride (GaN) low-noise amplifier (LNA) monolithic microwave integrated circuit (MMIC) with a 3-dB gain bandwidth (BW) from 63 to 101 GHz. The MMIC is fabricated in the Fraunhofer IAF 70-nm GaN-on-silicon-carbide (SiC) high-electron-mobility transistor (HEMT) technology. The four-stage common-source LNA exhibits an average noise figure (NF) of 3 dB for a measured frequency range from 75 to 101 GHz. The MMIC reaches a minimum NF of 2.8 dB at an operating frequency of 83 GHz. A mapping of two 100-mm wafers shows an excellent homogeneity with an 86% yield and an average NF of 3–3.3 dB. At 100 GHz, the LNA obtains output-referred 1-dB compression and third-order intercept points of 12.1 and 14.4 dBm, respectively. Furthermore, comprehensive investigations of the bias dependence of all measured performance parameters provide an insight into the presented device and LNA. To the best of the authors’ knowledge, this MMIC demonstrates the lowest NF among GaN LNAs at E/W -band frequencies</t>
  </si>
  <si>
    <t>https://ieeexplore.ieee.org/document/9662226</t>
  </si>
  <si>
    <t>CMOS Channel-Selection LNA With a Feedforward N-Path Filter and Calibrated Blocker Cancellation Path for FEM-Less Cellular Transceivers</t>
  </si>
  <si>
    <t>Donggu Lee; Kuduck Kwon</t>
  </si>
  <si>
    <t>In this article, a CMOS tunable channel-selection (CH-SEL) low-noise amplifier (LNA) with a feedforward (FF) N-path filter and a gain- and phase-calibrated interference- cancellation technique is proposed for advanced front-end module (FEM)-less cellular transceivers. The proposed LNA exhibits a high-Q RF bandpass/band-rejection filter characteristic based on a four-path filter, an active blocker cancellation with an FF translational loop, and an LC tank at the input, internal node, and output, respectively. The proposed gain- and phase-calibration block and tunable high-pass filter in the FF filtering path adjust the notch frequency corresponding to the transmitter leakage signal and help realize sharp notch filtering. The proposed CH-SEL LNA with CMOS duplexers compensates for the limited filtering performance of the CMOS duplexer and improves the blocker-tolerance and linearity of the receiver, and thus, can replace surface acoustic wave duplexers in the FEM. Fabricated in the 65-nm CMOS process, the CH-SEL LNA achieves a maximum voltage gain of 19.3 dB, minimum NF of 5.1 dB, and notch rejection ratio of more than 27.8 dB. It can also cover mid-band frequencies in the range of 1.35-2.7 GHz for 5G new radio cellular applications, exhibits an average current of 20 mA from a supply voltage of 1 V, and has an active die area of 1.16 mm².</t>
  </si>
  <si>
    <t>https://ieeexplore.ieee.org/document/9694459</t>
  </si>
  <si>
    <t>Design and Analysis of a 140-GHz T/R Front-End Module in 22-nm FD-SOI CMOS</t>
  </si>
  <si>
    <t>Xinyan Tang; Johan Nguyen; Giovanni Mangraviti; Zhiwei Zong; Piet Wambacq;</t>
  </si>
  <si>
    <t>This article presents novel methodologies and practical design considerations for a D-band transmit/receive (T/R) front-end module (FEM) in 22-nm fully depleted silicon-on-insulator (FD-SOI/FDX) CMOS technology for beyond-5G wireless communication. An ABCD-matrix-based synthesis methodology is proposed to co-design the T/R switch (SW) topology, including the power amplifier (PA) output and the low noise amplifier (LNA) input matching networks, to minimize the losses in both Tx and Rx modes. Based on this synthesis, an asymmetric T/R SW topology is realized with intrinsic electrostatic discharge (ESD) protection. Both the stacked-field-effect transistor (FET) PA and LNA adopt differential topologies with transformer-based matching networks to eliminate unwanted effects from common-mode parasitics. Passive gain-boosting techniques are used for both PA and LNA to enhance different TRx specifications. A reusable unit-cell layout strategy is applied for transistor arrays to accelerate the multiple-stage PA implementation and maintain uniform performance and minimal parasitics. At 140 GHz, the Tx achieves a power gain Gp of 33.6/35.7 dB, a saturated output power Psat of 12.5/14.7 dBm, a peak power-added efficiency (PAE) of 10.8/11.3%, and an output 1-dB compression point (OP1dB) of 9.4/11.2 dBm with nominal/boosted supplies. An average output power (Poutavg)/PAE of 4.9 dBm/2% is obtained for a 4-GHz bandwidth 64-QAM single-carrier signal at an error-vector magnitude (EVM) of -24.8 dB. Moreover, its Tx-mode reliability has been assessed. At 140 GHz, the Rx achieves a 20-dB Gp , a -24-dBm input 1-dB compression point (IP1dB), and a 9.2-dB noise figure (NF) with only 20-mW power consumption from a 0.8-V supply. This compact FEM has a PA/LNA core area of 0.024/0.032 mm², respectively.</t>
  </si>
  <si>
    <t>https://ieeexplore.ieee.org/document/9678366</t>
  </si>
  <si>
    <t>2/2022</t>
  </si>
  <si>
    <t>DC Power-Optimized Ka-Band GaN-on-Si Low-Noise Amplifier With 1.5 dB Noise Figure</t>
  </si>
  <si>
    <t>L. Pace, P. E. Longhi , W. Ciccognani , S. Colangeli , F. Vitulli, F. Deborgies, and E. Limit</t>
  </si>
  <si>
    <t>A Ka-band low-noise amplifier for low-consumption robust receivers is presented in this letter. The monolithic microwave integrated circuit (MMIC) is designed on a 100 nm GaN-on-Si technology provided by OMMIC foundry and decibel gain, average noise figure (NF) of 1.5 dB, with input-output return losses better than 15 dB in the whole 27-31 GHz design band. Large signal measurements show a OP 1dBcp of +16 dBm and survivability to RF input power verified up to +25 dBm without showing critical degradation. These performances have been achieved with only 150 mW dc power consumption in linear operating condition, 30% less than other Ka-band GaN LNAs published in the open literature.</t>
  </si>
  <si>
    <t>https://ieeexplore.ieee.org/document/9680783</t>
  </si>
  <si>
    <t>Design and Analysis of High-Gain and Compact Single-Input Differential-Output Low Noise Amplifier for 5G Applications</t>
  </si>
  <si>
    <t>Hao-Hsuan Chen , Wei-Chung Cheng, Cheng-Hung Hsieh, Zuo-Min Tsa</t>
  </si>
  <si>
    <t>This letter describes the design, analysis, and testing of a 28-GHz single-input differential-output (SIDO) low-noise amplifier (LNA) with a noise figure of 2.5 dB, compact size (0.25 mm²), and high gain (22.3 dB). The proposed LNA was fabricated using the Taiwan Semiconductor Manufacturing Company (TSMC) 65-nm CMOS process. This amplifier contains a two-stage common-source (CS) buffer amplifier for a low-noise design and combines CS and common-gate transistors for converting single-ended signal into differential signal. A novel method of common-mode rejection ratio optimization is used to determine the optimal phase compensation transmission line and transistor size to reduce gain and phase imbalances simultaneously. The gain and phase imbalances were 0.042 dB and 2.6° at 28 GHz, respectively. Compared with published LNAs, this SIDO LNA achieved the high figure of merits (FoMs) of 7.17 and 2.27, respectively. Therefore, this LNA can be used for 5G NR band of n257 (26.5-29.5 GHz), n258 (24.25-27.5 GHz), and n261 (27.5-28.35 GHz).</t>
  </si>
  <si>
    <t>https://ieeexplore.ieee.org/document/9716777</t>
  </si>
  <si>
    <t>6/2022</t>
  </si>
  <si>
    <t>A 0.1–3.5-GHz Inductorless Noise-Canceling CMOS LNA With IIP3 Optimization Technique</t>
  </si>
  <si>
    <t>Rong Zhou; Shubin Liu; Jiye Liu; Yuhua Liang; Zhangming Zhu</t>
  </si>
  <si>
    <t>A new linearity optimization (LO) technique is proposed to improve the input third-order intercept point (IIP3) of the wideband noise-canceling (NC) low-noise amplifiers (LNAs) without any influence on input impedance matching. Furthermore, this technique can be combined with the gm -boost technique and achieve LO with low power consumption. Fabricated in the 65-nm CMOS technology, the proposed wideband LNA occupies a small chip area of 0.0062 mm 2 . This LNA achieves 4–9.4-dBm IIP3, 17-dB voltage gain, and 2.09–3.2-dB noise figure (NF) over the entire frequency range from 100 MHz to 3.5 GHz. Furthermore, the core circuit draws only 6.6 mA from a single 1-V power supply.</t>
  </si>
  <si>
    <t>https://ieeexplore.ieee.org/document/9875370</t>
  </si>
  <si>
    <t>10/2022</t>
  </si>
  <si>
    <t>Low-Power Low-Complexity FM-UWB Hybrid Transceiver for Communication and Ranging</t>
  </si>
  <si>
    <t>Bo Zhou; Zuhang Wang</t>
  </si>
  <si>
    <t>A frequency-modulated ultrawideband (FM-UWB) hybrid transceiver, with a high system reuse ratio up to 90%, is fabricated in the 65-nm CMOS process for both short-range wireless communication and high-resolution radar ranging. The radio frequency (RF) front-ends (RFFEs) based on module stacking and current reuse achieve significant RF power savings of about 30% and 50% for the transmitter and the receiver (RX), respectively. The presented IF zero-crossing delay discrimination benefits a high radar resolution less than 1 cm. A multimode relaxation oscillator (OSC) for the reconfigured triangular subcarrier generation and a dual-path ring voltage-controlled oscillator (VCO) for the linear FM, stacked by a wideband push–pull power amplifier (PA), generate an FCC-compliant UWB signal. An active balun embedded low-noise amplifier (LNA) and two symmetric-detuning band-passed filters (BPFs) are stacked with the bandwidth extension to linearly demodulate the UWB FM signal. Experimental results show that the 3.75–4.25-GHz hybrid transceiver has an energy efficiency of 1.9 nJ/bit with an active area of 0.7 mm2 and a power dissipation of 1.9 mW and achieves the RX sensitivity of −71 dBm and the transmitted power of −14.1 dBm, with a bit error rate (BER) of 10−4 at a distance of 4 m under the data rate (DR) of 0.1–1.0 Mbps. The transceiver also achieves the noise figure (NF) of 4.8 dB and the phase noise of −78.6 dBc/Hz at 1-MHz offset frequency.</t>
  </si>
  <si>
    <t>https://ieeexplore.ieee.org/document/9745993</t>
  </si>
  <si>
    <t>4/2022</t>
  </si>
  <si>
    <t>Lateral III–V Nanowire MOSFETs in Low-Noise Amplifier Stages</t>
  </si>
  <si>
    <t>Stefan Andrić; Fredrik Lindelöw; Lars Ohlsson Fhager; Erik Lind; Lars-Erik Wernersson</t>
  </si>
  <si>
    <t>Lateral III–V nanowire (NW) MOSFETs are a promising candidate for high-frequency electronics. However, their circuit performance is not yet assessed. Here, we integrate lateral nanowires (LNWs) in a circuit environment and characterize the transistors and amplifiers. MOSFETs are fabricated in a simple scheme with a dc transconductance of up to 1.3 mS/ μm , ON-resistance down to 265Ω⋅μm , and cutoff frequencies up to 250 GHz, measured on the circuit level. The circuit model estimates 25% device parasitic capacitance increase due to back-end-of-line (BEOL) dielectric cladding. A low-noise amplifier input stage is designed with optimum network design for a noise matched input and an inductive peaking output. The input stage shows up to 4-dB gain and 2.5-dB noise figure (NF), at 60 GHz. Utilizing gate-length scaling in the circuit environment, the obtained normalized intrinsic gate capacitance value of 0.34-aF/nm gate length, per NW, corresponds well to the predicted theoretical value, demonstrating the circuit’s ability to provide intrinsic device parameters. This is the first mm-wave validation of noise models for III–V LNW MOSFETs. The results demonstrate the potential for utilization of the technology platform for low-noise applications.</t>
  </si>
  <si>
    <t>https://ieeexplore.ieee.org/document/9609967</t>
  </si>
  <si>
    <t>3/2022</t>
  </si>
  <si>
    <t>Donguk Shin; Kyudo Lee; Kuduck Kwon</t>
  </si>
  <si>
    <t>A Blocker-Tolerant Receiver Front End Employing Dual-Band N-Path Balun-LNA for 5G New Radio Cellular Applications</t>
  </si>
  <si>
    <t>In this article, a blocker-tolerant receiver (RX) front end employing a dual-band N -path balun low-noise amplifier (balun-LNA) is presented for advanced cellular applications. The proposed RX front end can achieve a superior input-referred second-order intercept point (IIP2) performance without any IIP2 calibration, as the N -path balun-LNA performs RF bandpass filtering and enhances blocker tolerance as well as the overall linearity of the RX. The proposed band-switchable differential inductor with a center tap enables the LC tank of the balun-LNA to support the operation of both low-band (LB) and mid-band (MB) frequencies for 5G new radio (NR) sub-6-GHz cellular applications. The RX front end is comprised of the dual-band N -path balun-LNA, a Gm -stage, current-mode passive mixers with a 25% duty-cycle local oscillator signal, current-mode passive RC low-pass filters, and transimpedance amplifiers. The RX front end was fabricated through a 65-nm CMOS process, and it was characterized primarily in the 5G NR LB and MB frequencies. The active die area was 2.24 mm 2 , and the RX front end drew a bias current of 15.1 mA from a nominal supply voltage of 1 V. It achieved a noise figure of 4.5 dB, a conversion gain of 43.5 dB, an out-of-band input-referred third-order intercept point of 7.89 dBm, and an IIP2 of more than 55 dBm.</t>
  </si>
  <si>
    <t>https://ieeexplore.ieee.org/document/9664433</t>
  </si>
  <si>
    <t>A Multiband/Multistandard 15–57 GHz Receive Phased-Array Module Based on 4 × 1 Beamformer IC and Supporting 5G NR FR2 Operation</t>
  </si>
  <si>
    <t>Abdulrahman Alhamed; Oguz Kazan; Gökhan Gültepe; Gabriel M. Rebeiz</t>
  </si>
  <si>
    <t>This work presents a 15–57 GHz multiband/ multistandard phased-array architecture for the fifth-generation (5G) new radio (NR) frequency range 2 (FR2) bands. An eight-element phased-array receive module is demonstrated based on two four-channel wideband beamformer chips designed in the SiGe BiCMOS process and flipped on a low-cost printed circuit board. The SiGe Rx chip employs RF beamforming and is designed to interface to a wideband differential Vivaldi antenna array. Each channel consists of a low-noise amplifier (LNA), active phase shifter with 5-bit resolution, variable gain amplifier (VGA), and differential-to-single-ended stage. The four channels are combined using a wideband two-stage on-chip Wilkinson network. The beamformer has a peak electronic gain of 24–25 dB and a 4.7–6.2 dB noise figure (NF) with a −29 to −24 dBm input P1dB at 20–40 GHz. The eight-element phased-array module also achieved ultra-wideband frequency response with flat gain and low-system NF. The phased array scans ±55° with &lt;−12 -dB sidelobes demonstrating multiband operation. A 1.2-m over-the-air (OTA) link measurement using the eight-element Rx module supports 400-MHz 256-QAM OFDMA modulation with &lt; 2.76% error vector magnitude (EVM) at multiple 5G NR FR2 bands. To the author’s knowledge, this work achieves the widest bandwidth phased array enabling the construction of multistandard systems</t>
  </si>
  <si>
    <t>https://ieeexplore.ieee.org/document/9674742</t>
  </si>
  <si>
    <t>An L- and C-Band Radiometer Utilizing Distributed Active Hot and Cold Loads With 156% Fractional Bandwidth</t>
  </si>
  <si>
    <t>Xiaojun Bi; Zhaoming Feng; Shiming Guan; Zilan Cao; Yufan Mei; Jian Li; Zhe Zhang; Qinfen Xu</t>
  </si>
  <si>
    <t>This article presents an L - and C -band radiometer with integrated wideband active hot and cold loads (AHCLs). By seamlessly integrating the distributed low noise amplifying unit and the wideband power-combining unit, the operational bandwidth of the conventional AHCL is significantly enhanced. The proposed distributed AHCL based on the reused noise-generation structure can realize a balanced calibration of the Dicke radiometer in 156% fractional bandwidth and, therefore, results in a significant reduction of noise equivalent temperature difference (NETD). The dual-band radiometer consists of a distributed AHCL, an SPDT switch, an LNA stage, a reflectionless bandpass filter, a diplexer, L - and C -band detectors, and backend analog circuits. Utilizing a distributed AHCL with 156% fractional bandwidth, the achieved NETDs in L - and C -bands are 1.39 K and 0.36 K, respectively. The implemented radiometer demonstrates an ability to make a balanced calibration automatically in an input range from around 225 K to 650 K. To the best of our knowledge, the proposed dual-band radiometer with a distributed AHCL demonstrates the ability to enhance the Dicke radiometer’s sensitivity effectively in the largest fractional bandwidth.</t>
  </si>
  <si>
    <t>https://ieeexplore.ieee.org/document/9650549</t>
  </si>
  <si>
    <t>* concurrent dual band</t>
  </si>
  <si>
    <t>https://ieeexplore.ieee.org/document/9960851</t>
  </si>
  <si>
    <t>early access</t>
  </si>
  <si>
    <t>A Millimeter-Wave Concurrent LNA in 22-nm CMOS FDSOI for 5G Applications</t>
  </si>
  <si>
    <t>Jierui Fu; Mohammad Ghaedi Bardeh; Jeyanandh Paramesh; Kamran Entesari</t>
  </si>
  <si>
    <t>This article presents a concurrent dual-band low-noise amplifier (LNA) in a 22-nm fully-depleted silicon-on-insulator (FDSOI) CMOS process. This three-stage cascode LNA is designed to operate concurrently between 23.3 and 30.3 GHz and 38 and 44.7 GHz ( K -/ Ka -band) for 5G mm-wave bands. To achieve a high rejection in the stopband between the two passbands, a notch circuit is designed using a cross-coupled pair (XCP) to mitigate the limited inductor/capacitor quality factors, thus enhancing notch depth in the second stage. The gain of the LNA can be digitally controlled in the third stage by over eight steps of 1 dB. The input matching network also acts like a high-pass filter to generate a sufficient rejection for frequencies below 13 GHz. The measured gain is 22 dB at 24 GHz and 16 dB at 40.5 GHz, with a 3-dB bandwidth of 23.3–30.3 GHz for low passband and 38–44.7 GHz for high passband. The LNA achieves a noise figure (NF) of 2.55/4.75 dB at 28/40 GHz, a rejection of 19.2 dB at 34.1 GHz, and a power consumption of 18 mW with supply voltages of 0.8 V for the first stage, and 1.0 V for the rest. The chip has a length of 1035 μ m, a width of 885 μ m, and an area of 0.916 mm2 including all pads and decoupling capacitors</t>
  </si>
  <si>
    <t>5/2022</t>
  </si>
  <si>
    <t>Design and Analysis of a 4.2 mW 4 K 6–8 GHz CMOS LNA for Superconducting Qubit Readout</t>
  </si>
  <si>
    <t>Alican Caglar; Steven Van Winckel; Steven Brebels; Piet Wambacq; Jan Craninckx</t>
  </si>
  <si>
    <r>
      <t xml:space="preserve">This article proposes a cryogenic inverter-based low noise amplifier (LNA) for qubit readout. Its input impedance matching is realized by a high- Q on-chip gate inductor and capacitive load through the gate-to-drain feedback capacitance of the input transistors. Cascode transistors are used to optimize the impedance matching, which results in a larger gate inductor and smaller load capacitor and hence a higher passive and inverter gain. Owing to the high passive gain and Q -factor of the gate inductor at 4 K, the noise of the active stages is substantially suppressed with a negligible noise contribution of the gate inductor. Moreover, with the current re-use in the inverter topology, less power consumption is achieved for the given transconductance of transistors. The input impedance, gain, and noise analyses of the proposed LNA are performed for room temperature (RT) operation, and its noise optimization is done by taking the cryogenic operation of the devices into account. We demonstrate with the circuit analysis and measurement results that the input impedance of the LNA has a low sensitivity to variations on device parameters at cryogenic temperatures. The LNA is implemented in a 28 nm CMOS technology. It achieves 0.4–0.7 dB noise figure (NF) with 4.2 mW power consumption at 4 K, and its operating frequency is between 6–8 GHz. The LNA consumes very low power compared to the state-of-the-art cryogenic CMOS LNAs while providing similar NF performance at 4 K, which makes it suitable for dilution refrigerators.capacitance of the input transistors. Cascode transistors are used to optimize the impedance matching, which results in a larger gate inductor and smaller load capacitor and hence a higher passive and inverter gain. Owing to the high passive gain and </t>
    </r>
    <r>
      <rPr>
        <i/>
        <sz val="13.2"/>
        <color theme="1"/>
        <rFont val="MathJax_Math"/>
      </rPr>
      <t>Q</t>
    </r>
    <r>
      <rPr>
        <sz val="11"/>
        <color theme="1"/>
        <rFont val="Calibri"/>
        <family val="2"/>
        <scheme val="minor"/>
      </rPr>
      <t xml:space="preserve"> -factor of the gate inductor at 4 K, the noise of the active stages is substantially suppressed with a negligible noise contribution of the gate inductor. Moreover, with the current re-use in the inverter topology, less power consumption is achieved for the given transconductance of transistors. The input impedance, gain, and noise analyses of the proposed LNA are performed for room temperature (RT) operation, and its noise optimization is done by taking the cryogenic operation of the devices into account. We demonstrate with the circuit analysis and measurement results that the input impedance of the LNA has a low sensitivity to variations on device parameters at cryogenic temperatures. The LNA is implemented in a 28 nm CMOS technology. It achieves 0.4–0.7 dB noise figure (NF) with 4.2 mW power consumption at 4 K, and its operating frequency is between 6–8 GHz. The LNA consumes very low power compared to the state-of-the-art cryogenic CMOS LNAs while providing similar NF performance at 4 K, which makes it suitable for dilution refrigerators.</t>
    </r>
  </si>
  <si>
    <t>https://ieeexplore.ieee.org/document/9950709</t>
  </si>
  <si>
    <t>A 0.0078mm2 3.4mW Wideband Positive-Feedback-Based
Noise-Cancelling LNA in 28nm CMOS Exploiting Gm Boostin</t>
  </si>
  <si>
    <t>Zhe Liu, Chirn Chye Boon, Chenyang Li, Kaituo Yang, Yangtao Dong, Ting Guo</t>
  </si>
  <si>
    <t>20/02/2022</t>
  </si>
  <si>
    <t>The noise figure (NF) of the low-noise amplifier (LNA), located at the forefront of wideband receivers, directly influences the total NF of the receiver. A popular approach to suppress the noise of the input transistor to decrease the LNA NF is to utilize a noise-cancelling (NC) technique, where the main amplifier provides input matching, while the auxiliary amplifier removes the noise of the main amplifier [1]. In this scenario, the common-gate (CG) common-source (CS) NC LNA has been widely investigated because it features simultaneous noise and distortion cancellation. To achieve a NF of 3dB, the CG-CS LNA in [2] consumes 15.4mA. By employing the gm -boosting technique, a NF of 3.5dB is achieved in [3] while consuming 7.5mA. Benefiting from the current reuse technique, the current dissipation in [4] is reduced to 4.5mA with a NF of 2.09dB. For these reported works, the noise contribution of the auxiliary amplifier dominates the NF. However, the noise factor contributed by the auxiliary amplifier is inversely proportional to its transconductance (gm) ; hence, the noise contribution of the auxiliary amplifier can only be reduced by increasing gm at the cost of current dissipation, rendering the NC LNA a power-hungry component of a wideband receiver.</t>
  </si>
  <si>
    <t>https://ieeexplore.ieee.org/document/9731719</t>
  </si>
  <si>
    <t>A 26-to-39GHz Broadband Ultra-Compact High-Linearity Switchless Hybrid N/PMOS Bi-Directional PA/LNA Front-End for Multi-Band 5G Large-Scaled MIMO System</t>
  </si>
  <si>
    <t>Jeongsoo Park; Hua Wang</t>
  </si>
  <si>
    <t>The continuous growth of data-rates has stimulated the rapid development of 5G New Radio (NR) in the mm-wave FR2 bands (above 24GHz). Consequently, to compensate for the mm-wave high path loss, large-scaled MIMO arrays have become essential. This calls for compact high-performance mm-wave 5G front-end electronics to integrate many MIMO channels on the same chip for low cost and low form factor. A main challenge for mm-wave 5G MIMOs is to integrate both front-end transmitter (TX) and receiver (RX) chains in each array pixel with a minimum silicon area to form a co-apertured low-cost array [1]. The conventional TRX architecture often consists of a PA and an LNA placed in parallel and combined by a T/R switch to control the TX/RX mode. Although this topology eases the design, it faces chip area increase due to many separate matching networks for the PA/LNA/switch, as well as the switch loss that degrades the PA output power (Pout) and LNA noise figure (NF). On the other hand, though bi-directional mm-wave front-ends are gaining popularity, existing designs only show narrow bandwidth and very limited PA Pout and efficiency.</t>
  </si>
  <si>
    <t>https://ieeexplore.ieee.org/document/9731651</t>
  </si>
  <si>
    <t>06/20/2019</t>
  </si>
  <si>
    <t>08/04/2020</t>
  </si>
  <si>
    <t>07/07/2021</t>
  </si>
  <si>
    <t>19/06/2022</t>
  </si>
  <si>
    <t>A 4.2-9.2GHz Cryogenic Transformer Feedback Low Noise Amplifier with 4.5K Noise Temperature and Noise-Power Matching in 22nm CMOS FDSOI</t>
  </si>
  <si>
    <t>Boce Lin; Hamdi Mani; Phil Marsh; Richard Al Hadi; Hua Wang</t>
  </si>
  <si>
    <t>This paper presents a compact broadband cryogenic low noise amplifier (LNA) with simultaneous noise and power matching with transformer-based feedback. The LNA is composed of an input impedance transforming network and three-stage amplifiers to achieve simultaneous broadband low-noise and power matching. The first stage is a cascode amplifier with a drain source-coupled transformer. The second stage is a current-reuse broadband amplifier, and the third stage is an inductive-peaking cascode common-source amplifier. The LNA is packaged in a custom chassis and measured at 300K and 16K. At 300K probing measurement, the LNA achieves minimum noise Fig. of 1.42dB and S11&lt; -10dB from 3.6-8.2 GHz with 34dB-35.9dB gain. The overall group delay is less than 0.3ns and IIP3 is ≥ -6dBm across the frequency range. At 16K, the LNA achieves a minimum noise Fig. (NF) of 0.065dB and NF &lt; 0.3dB from 4.2-9.2 GHz with 31.4dB-34.7dB gain.</t>
  </si>
  <si>
    <t>https://ieeexplore.ieee.org/document/9863208</t>
  </si>
  <si>
    <t>22-33 GHz CMOS LNA Using Coupled-TL Feedback
and Body Self-Forward-Bias for 28 GHz 5G System</t>
  </si>
  <si>
    <t>Yo-Sheng Lin; Kai-Siang Lan</t>
  </si>
  <si>
    <t>We report a 22–33 GHz low-noise amplifier (LNA) with low power dissipation (P D ), low noise-figure (NF) and small group-delay (GD) variation in 90 nm CMOS for 28 GHz 5G system. Current-reused and body self-forward-bias (BSFB) techniques are used for low P D . Compact quarter-wavelength (λ/4) spiral transmission-line (TL) in conjunction with a large bypass capacitor is used for gate-bias and simultaneous drain-bias and current-source. Coupled-TL feedback and BSFB techniques are used for gain and NF enhancement in the condition of the same P D . The LNA dissipates 12.2 mW and achieves decent S 21 of 16 dB, 3 dB bandwidth (f 3dB ) of 11 GHz (22–33 GHz), minimum NF (NF min ) of 2.5 dB, average NF (NFavg) of 3.1 dB and GD variation of ±6 ps for 22–33 GHz, and figure-of-merit (FOM) of 91.7 GHz. Furthermore, the LNA occupies 0.406 mm 2 chip area, and attains decent input third-order intercept point (IIP3) of -3 dBm at 28 GHz. The NF and FOM are one of the best performances ever demonstrated for Ka-band CMOS LNAs with f 3dB wider than 5 GHz and P D lower than 14 mW.</t>
  </si>
  <si>
    <t>https://ieeexplore.ieee.org/document/9863213</t>
  </si>
  <si>
    <t>A Linear High-Power Reconfigurable SOI-CMOS Front-End Module for WI-FI 6/6E Applications</t>
  </si>
  <si>
    <t>D. Parat; A. Serhan; P. Reynier; R. Mourot; A. Giry</t>
  </si>
  <si>
    <t>This paper presents a high-power monolithic SOI-CMOS Front End-Module (FEM) supporting Wi-Fi 6/6E signals at 2.4GHz. The FEM includes an SP4T antenna switch, a power amplifier (PA), a low noise amplifier (LNA) with bypass mode, and a digital controller. The RX path achieves 15dB of power gain with less than 1.8dB of noise figure (NF) with 10mW of power consumption. The TX path delivers 33.4dBm of saturated output power (Psat) with 51.7% of peak PAE and 28.5dB of power gain. Without DPD, the reconfigurable TX path achieves state-of-the art performance with 23.4/20dBm of linear output power (Pout) for an EVM of −35.1/−43.9dB and an operating current of 282/254mA for 802.11ac/ax MCS9/MCS11 40MHz signals.</t>
  </si>
  <si>
    <t>A Capacitor Assisting Triple-Winding Transformer Low-Noise Amplifier with 0.8-1.5dB NF 6−12GHz BW±0.75dB Ripple in 130nm SOI CMOS</t>
  </si>
  <si>
    <t>Tenghao Zou; Hao Xu; Yizhuo Wang; Weitian Liu; Tingting Han; Zengqi Wang; Nan Li; Mi Tian; Weiqiang Zhu; Na Yan</t>
  </si>
  <si>
    <t>This paper presents a novel capacitor assisting triple-winding transformer (CTTF) low noise amplifier (LNA) with ultra-low noise figure (NF) and a flat passband gain in 130nm SOI CMOS process. The assisting capacitor in the triple-winding transformer expands the design space by enabling independent control of the coupling strength between each two inductors. The negative resistor enhanced by the assisting capacitor boosts the transformer gain that not only suppresses the noise from the second stage, but also leads to a wider passband by compensating the gain droop from the active transistors. Through two-stage simultaneous noise and power matching, the LNA provides a remarkable 0.8-1.5 dB NF, &lt;−14dB S11, &lt;−8dB S22, −11.8dBm IP 1dB and 21.8-23.3dB power gain across the 6-12GHz passband with ±0.75dB ripple while drawing 20mA from a 3.3V supply. It reports the lowest NF so far.</t>
  </si>
  <si>
    <t>https://ieeexplore.ieee.org/document/9862955</t>
  </si>
  <si>
    <t>An LNA with Input Power Match from 6.1 to 38.6 GHz, the Noise-Figure Minimum of 1.9 dB, and Employing Back Gate for Matching</t>
  </si>
  <si>
    <t>Mohammad Radpour; Leonid Belostotski</t>
  </si>
  <si>
    <t>This paper proposes using the back-gate terminal of an FDSOI transistor for input power matching. This concept is experimentally demonstrated with a 22-nm FDSOI low-noise amplifier (LNA). Thanks to the real part of the back-gate impedance, the LNA| S11| &lt; −10-dB bandwidth extends from 6.1 to 38.6 GHz. In addition, applying input to both the front-and back-gate terminals, as well as employing a current-reuse configuration, increases the effective transconductance of the LNA first stage, thereby increasing its gain and lowering its input-referred noise. As a result, the LNA is able to achieve 12.2 ± 3.4dB of gain, −13dBm of IP1dB, and a noise-figure minimum of 1.9 dB while consuming 7.8 mW of power and occupying 0.03-mm2 of active area.</t>
  </si>
  <si>
    <t>https://ieeexplore.ieee.org/document/9863196</t>
  </si>
  <si>
    <t>28 GHz Compact LNAs with 1.9 dB NF Using Folded Three-Coil Transformer and Dual-Feedforward Techniques in 65nm CMOS</t>
  </si>
  <si>
    <t>Xiangrong Huang; Haikun Jia; Wei Deng; Zhihua Wang; Baoyong Chi</t>
  </si>
  <si>
    <t>This article presents two Ka-band low-noise amplifiers (LNA) for millimeter-wave (mm-wave) phased-arrays. The folded three-coil transformer and EM dual-feedforward techniques are proposed to improve the LNA's noise performance and reduce the chip area. The first two-stage single-ended LNA, consisting of a common-gate (CG) input stage and a common-source (CS) output stage, achieves 1.9 dB minimum noise figure (NF), 16.7 dB peak gain, 4.3 GHz 3-dB bandwidth (BW) from 25.6 to 29.9 GHz, and -12 dBm input 1-dB gain-compression-point (IP1dB) with 13.2 mW Pdc. The second LNA employs the current-reuse topology, which reduces the power consumption to 3.6 mW at the cost of a 0.6 dB NF degradation. The proposed LNAs have been fabricated in 65nm CMOS process. The two LNAs have the same 200 µm × 300 µm core chip area.</t>
  </si>
  <si>
    <t>https://ieeexplore.ieee.org/document/9863182</t>
  </si>
  <si>
    <t>https://ieeexplore.ieee.org/document/9863114</t>
  </si>
  <si>
    <t>LNFET device with 325/475GHz fT/fMAX and 0.47dB NFMIN at 20GHz for SATCOM applications in 45nm PDSOI CMOS</t>
  </si>
  <si>
    <t>S.V. Khokale; T. Ethirajan; H.K. Kakara; B. Humphrey; K. Shanbhag
GlobalFoundries, USA
; V. Vanukuru; V. Jain; S. Jai</t>
  </si>
  <si>
    <t>An experimental low noise FET (LNFET) device is presented in this paper with fT/fMAX of 325/475GHz. To authors' knowledge, this is the highest reported fMAX for a CMOS device. The device was demonstrated on a 45 nm partially depleted Silicon on insulator (PDSOI) CMOS wafer for low noise amplifier (LNA) design. The device has been developed for Ku/K/Ka-band applications in SATCOM (satellite communications) RF transceiver. It shows ∼0.26/0.47/0.60 dB NFMIN and ∼20.1/17.8/16.6 dB MSG at 12 / 20 / 26 GHz respectively. LNA reference circuits at 12GHz and 20GHz were designed using this device with an inductively degenerated source cascode. Measured data from the circuits show NF of ∼0.82dB at 12GHz and ∼1.23dB at 20GHz with 15.2dB and 12.3dB gain respectively. Measured NF is the lowest amongst recent silicon-based designs in these frequency bands.</t>
  </si>
  <si>
    <t>A 2.57mW 5.9-8.4GHz Cryogenic FinFET LNA for Qubit Readout</t>
  </si>
  <si>
    <t>https://ieeexplore.ieee.org/document/9863158</t>
  </si>
  <si>
    <t>Jean-Olivier Plouchart; Dereje Yilma; John Timmerwilke; Sudipto Chakraborty; Kevin Tien; Alberto Valdes-Garcia; Daniel Friedman</t>
  </si>
  <si>
    <t>A 5.9-8.4GHz LNA intended for use at cryogenic temperatures was implemented in a 14nm FinFET CMOS technology. At 4.1 K, peak LNA gain of 13.4dB is measured at 7.1GHz, with a 3dB bandwidth of 2.5GHz and power consumption of 2.1mW. Also, at 4.1K, measured noise figure from 6 to 8GHz is 0.53-0.57dB and the measured noise temperature is 37.6-41K; power consumption in this set of measurements was 2.57mW.</t>
  </si>
  <si>
    <t>A Compact 28-nm FD-SOI CMOS 76–81 GHz Automotive Band Receiver Path with Accurate 0.2° Phase Control Resolution</t>
  </si>
  <si>
    <t>Antoine Le Ravallec; Patrice Garcia; João Carlos Azevedo Gonçalves; Loïc Vincent; Jean-Marc Duchamp; Philippe Benech</t>
  </si>
  <si>
    <t>This paper presents a 76–81 GHz receiver path for automotive radar applications in 28-nm FD-SOI CMOS technology. It introduces a new accurate phase control using MOS varactors. The proposed solution implemented in the front-end low noise amplifier (LNA) allows a phase control of maximum 22° with a 0.2° resolution for minimum degradation of the LNA and the receiver performances. The receiver contains a two-stage LNA with 5.5 dB noise figure (NF), a passive mixer, a local oscillator (LO) driver and a baseband (BB) amplifier. The receiver exhibits input compression points (ICP 1dB ) of −25.2 dBm and −12.6 dBm with and without BB amplifier, respectively. The active area of the receiver path is only 0.057 mm 2 for a total power consumption of 41.7 mW</t>
  </si>
  <si>
    <t>https://ieeexplore.ieee.org/document/9863096</t>
  </si>
  <si>
    <t>A W/F-Band Low-Noise Power Amplifier GaN MMIC with 3.5-5.5-dB Noise Figure and 22.8-24.3-dBm Pout</t>
  </si>
  <si>
    <t>This paper presents an 80-122-GHz low-noise power amplifier (LNPA) monolithic microwave integrated circuit (MMIC) fabricated in a 70-nm gallium nitride (GaN) high-electron-mobility transistor (HEMT) technology. The LNPA MMIC contains a three-stage low-noise-optimized input stage and a balanced two-stage power-optimized output stage. From 80 to 122 GHz, the amplifier provides more than 24 dB of small-signal gain and a noise figure (NF) of 3.5-5.5 dB. For an extended upper band edge (87–124 GHz), the LNPA yields an NF of below 4 dB with an average value of 3.7 dB. At 1-dB gain compression, the MMIC exhibits an output power (Pout) in the range of 18.9-21.2 dBm. For a measured bandwidth of 80–122 GHz and an input power of 0 dBm, the amplifier yields a Pout of 22.8-24.3 dBm with a corresponding power-added efficiency of 9.6-13.4 %. With these performance parameters, the presented LNPA MMIC demonstrates the lowest GaN-based NF above 105 GHz, while providing a higher Pout than other LNAs at these frequencies.</t>
  </si>
  <si>
    <t>https://ieeexplore.ieee.org/document/9865528</t>
  </si>
  <si>
    <t>08/08/2020</t>
  </si>
  <si>
    <t>06/07/2021</t>
  </si>
  <si>
    <t>A 3.2 mW 2.2-13.2 GHz CMOS Differential Common-Gate LNA for Ultra-Wideband Receivers</t>
  </si>
  <si>
    <t>Li Zhang; Nguyen L.K. Nguyen; Jingjun Chen; Omeed Momeni; Xiaoguang Liu</t>
  </si>
  <si>
    <t>This paper presents a low power consumption CMOS differential common-gate low noise amplifier (CG LNA) for ultra-wideband (UWB) applications. A capacitor cross-coupled (CCC) transconductance ( Gm ) boosting technique is adopted to improve the noise figure (NF) and lower power consumption. Moreover, an active positive current feedback scheme is employed to further reduce NF and boost input matching bandwidth. Implemented in a 65nm CMOS process, the LNA achieves a peak gain of 16.3 dB over a 3-dB bandwidth of 0.8-13.2 GHz and a minimum NF of 3.3 dB. The measured input-referred third-order intercept point ( IIP3 ) is −5.3 dBm at 6 GHz. At a supply voltage of 1 V, the LNA core consumes approximately 3.2 mA of DC current. To the best of authors' knowledge, this paper presents the best figure-of-merit (F.O.M) compared to prior works on UWB LNAs.</t>
  </si>
  <si>
    <t>https://ieeexplore.ieee.org/document/9865626</t>
  </si>
  <si>
    <t>Design and Implementation of a 3.9-to-5.3 GHz 65 nm Cryo-CMOS LNA with an Average Noise Temperature of 10.2K</t>
  </si>
  <si>
    <t>Sayan Das; Sanjay Raman
Department of Electrical and Computer Engineering, University of Massachusetts, Amherst, USA
; Joseph C. Bardin</t>
  </si>
  <si>
    <t>Realization of CMOS SoC readout solutions for future quantum computers will require demonstrating cryo-CMOS LNAs with cutting-edge noise and power. However, a lack of design models makes the systematic implementation of these devices challenging. Here, we propose a method for the first-pass design of cryo-CMOS LNAs by complementing room temperature PDK models with additional noise sources and report a cryo-CMOS LNA in 65nm bulk CMOS achieving &gt; 38 dB gain and an average noise of 10.2K from 3.9-5.3 GHz while dissipating 23.1mW. The amplifier can be operated at &lt; 10mW at a cost of 1K additional noise. Using a FOM representing the number of added noise photons, bandwidth, and power, the amplifier is shown to have a &gt; 2x better FOM than other state-of-the-art cryo-CMOS LNAs. Additionally, we extract cryogenic noise models and find that the Fano factor for this technology does not appear to change with cryogenic cooling.</t>
  </si>
  <si>
    <t>https://ieeexplore.ieee.org/document/9865392</t>
  </si>
  <si>
    <t>Sub-mW 30GHz Variable-Gain LNA in 22nm FDSOI CMOS for Low-Power Tapered mm-Wave 5G/6G Phased-Array Receivers</t>
  </si>
  <si>
    <t>Michele Spasaro; Domenico Zito</t>
  </si>
  <si>
    <t>Next-generation cellular systems require low-power mm-wave phased-array ICs. Variable-gain LNAs (VG-LNAs) are key blocks enabling reduced hardware complexity, performance improvement and added functionalities. This paper reports a low-power 30GHz VG-LNA for mm-wave 5G/6G phased-array ICs, with a gain control of 8 dB for 18dB Taylor taper in a 30GHz 8×8 antenna array. The VG-LNA exhibits a peak gain of 16 dB in the high-gain state, consumes less than 1 mW and occupies an area of 0.20×0.22 mm 2 ,</t>
  </si>
  <si>
    <t>https://ieeexplore.ieee.org/document/9865340</t>
  </si>
  <si>
    <t>A Fully-Differential 146.6-157.4 GHz LNA Utilizing Back Gate Control to Adjust Gain in 22 nm FDSOI</t>
  </si>
  <si>
    <t>This paper presents a fully-differential D-Band LNA with a measured variable peak gain of 9.0-18.0dB at 153.5 GHz over a 3 dB bandwidth of 10.8 GHz. The LNA consists of four capacitor neutralized Common-Source (CS) stages each matched with transmission lines. A simulated noise figure (NF) of 7.5 dB is achieved. Utilizing the back gate control of the 22 nm FDSOI technology enables a passive gain control of 9 dB while reducing the NF and compression point degradation and scaling the power consumption through optimized circuit biasing. The peak power consumption is less than 27.5mW and reduces to 17.5mW at minimum gain.</t>
  </si>
  <si>
    <t>Patrick J. Artz; Philipp Scholz; Thomas Mausolf; Friedel Gerfers
Mixed-Signal Circuit Design, Technische Universitat, Berlin, Germany</t>
  </si>
  <si>
    <t>https://ieeexplore.ieee.org/document/9865523</t>
  </si>
  <si>
    <t>04/2022</t>
  </si>
  <si>
    <t>A Differential D-Band Low-Noise Amplifier in 0.13 μm SiGe</t>
  </si>
  <si>
    <t>İbrahim Kağan Aksoyak; Matthias Möck; Ahmet Çağrı Ulusoy</t>
  </si>
  <si>
    <t>This letter presents a differential two-stage cascode D -band low-noise amplifier (LNA) using IHP’s 0.13 μm SiGe BiCMOS technology. Both gain-peaking and noise-reduction techniques are applied, and a proper interstage matching for an improved linearity is implemented and thereby, the best FoM is achieved among the reported silicon-based D -band LNAs up to date. The small-signal gain is 20 dB at 140 GHz with a 3-dB bandwidth of 31 GHz. The LNA exhibits a simulated noise figure of 5.9 dB and an input-referred 1-dB compression point of −19.7 dBm, which demonstrates a leading-edge performance. The total occupied chip area is 0.4 mm 2 including the pads, and the LNA core occupies only 0.1 mm 2 . The proposed differential LNA consumes a total of 31.8 mW from a 2-V supply.</t>
  </si>
  <si>
    <t>https://ieeexplore.ieee.org/document/9756546</t>
  </si>
  <si>
    <t>A 18–44 GHz Low Noise Amplifier With Input Matching and Bandwidth Extension Techniques</t>
  </si>
  <si>
    <t>Ruitao Wang; Chenguang Li; Jian Zhang; Sen Yin; Wei Zhu; Yan Wang</t>
  </si>
  <si>
    <t>This letter presents a low noise amplifier (LNA) with a 3-dB gain bandwidth (3-dB BW) of 18–44 GHz in 65-nm CMOS technology. By deriving an analytical equation of input impedance, a co-design methodology for the first two stages of LNA that can simultaneously achieve broadband input matching and low noise figure (NF) is implemented. Weakly coupled asymmetric transformers that introduce a section of reverse parallel winding in the primary coil are designed to realize broadband interstage matching, optimize the gain flatness and boost the transconductance. The proposed LNA achieves a measured peak gain of 19.5 dB with a fractional 3-dB gain bandwidth (FBW) of 83.8%, covering the whole K -band and Ka -band. The measured NF is 2.6–3.5 dB from 20 to 43 GHz. To the best of our knowledge, the proposed LNA achieves the highest 3-dB BW and FBW with competitive NF. The measured input 1-dB gain compression point ( IP1dB ) ranges from −23 to −18.5 dBm over the entire 3-dB gain bandwidth.</t>
  </si>
  <si>
    <t>https://ieeexplore.ieee.org/document/9753683</t>
  </si>
  <si>
    <t>An E-Band High-Performance Variable Gain Low Noise Amplifier for Wireless Communications in 90-nm CMOS Process</t>
  </si>
  <si>
    <t>Yunshan Wang; Tzu-Yang Chiu; Chun-Chia Chien; Wei-Hsuan Tsai; Huei Wang</t>
  </si>
  <si>
    <t>In this letter, a fully integrated variable gain low noise amplifier (VG-LNA) implemented in 90-nm CMOS process for E -band millimeter-wave (MMW) backhaul communications is presented. The amplifier consists of two current-reused stages followed by a cascode stage and a current-steering cascode stage with gm -boosting and body-floating for higher gain. This work achieves a small-signal gain higher than 20 dB at 71.6–89.5 GHz and a 26.1-dB peak gain at 83 GHz, and 23-mW dc power dissipation. The gain control range is 8.9–25.7 dB at the center frequency. The measured noise figure (NF) is lower than 5.5 dB at 76–86 GHz with a minimum NF of 4.8 dB at 78 GHz. This VG-LNA shows competitive gain, NF, and low dc power consumption at E -band among the low noise amplifiers (LNAs) in 90-nm CMOS technology, and comparable figure of merit to those MMW LNAs in better IC processes.</t>
  </si>
  <si>
    <t>https://ieeexplore.ieee.org/document/9745748</t>
  </si>
  <si>
    <t>7/2022</t>
  </si>
  <si>
    <t>Ultralow Power E-Band Low-Noise Amplifier With Three-Stacked Current-Sharing Amplification Stages in 28-nm CMOS</t>
  </si>
  <si>
    <t>https://ieeexplore.ieee.org/document/9749926</t>
  </si>
  <si>
    <t>This letter presents a differential ultralow power low-noise amplifier (LNA) with stacked three-stage common-source (CS) amplification cells. A three-coil transformer is developed to boost each stage’s gm and reuse current, which renders high gain, low noise, and low power consumption. The proposed LNA has been implemented in a 28-nm CMOS process and achieves a peak gain of 13.48 dB and a minimum noise figure (NF min ) of 4.56 dB. The measured 3-dB gain bandwidth ( BW3dB ) is from 69.6 to 76.2 GHz. The LNA consumes 3.64-mW power from a 1.4-V supply and occupies 0.088-mm 2 area excluding pads.</t>
  </si>
  <si>
    <t>A 67–116-GHz Cryogenic Low-Noise Amplifier in a 50-nm InGaAs Metamorphic HEMT Technology</t>
  </si>
  <si>
    <t>Fabian Thome; Frank Schäfer; Sener Türk; Pavel Yagoubov; Arnulf Leuther</t>
  </si>
  <si>
    <t>This letter presents a 67–116-GHz low-noise amplifier (LNA) module with state-of-the-art cryogenic noise performance. The LNA is based on a monolithic microwave integrated circuit (MMIC) that is fabricated in a 50-nm metamorphic high-electron-mobility transistor (mHEMT) technology. The MMIC is packaged in a WR10 waveguide split-block housing and uses fused silica E -plane microstrip-to-waveguide transitions. For a 67–116-GHz bandwidth, the amplifier exhibits average noise temperatures ( T e ) at 15 and 300 K of 21.4 and 194 K, respectively. A minimum T e of 13.6 K is achieved at 72.2 GHz. To the best of the authors’ knowledge, this LNA demonstrates a new low-noise benchmark for room temperature and cryogenic noise temperatures in the extended W -band frequency range.</t>
  </si>
  <si>
    <t xml:space="preserve">Liang Qiu , Jiabing Liu, Qianyi Dong, Zhihao Lv , Kailong Zhao, Shengjie Wang, Yen-Cheng Kuan ,Qun Jane Gu , Xiaopeng Yu , Chunyi Song, Zhiwei Xu </t>
  </si>
  <si>
    <t>GaAs</t>
  </si>
  <si>
    <t>https://ieeexplore.ieee.org/document/9661064</t>
  </si>
  <si>
    <t>A Cryo-CMOS Low-Noise Amplifier With 2.3-to-8.5-K Noise Temperature at 20 K for Highly Integrated Radio-Astronomy Receivers</t>
  </si>
  <si>
    <t>A. Sheldon; L. Belostotski</t>
  </si>
  <si>
    <t>This letter presents a 0.9–1.8-GHz cryo-CMOS low-noise amplifier (LNA) built-in standard 65-nm CMOS for highly integrated radio astronomy receivers. The measured cryogenic noise parameters confirm noise matching in the band and demonstrate that the LNA nears its minimum noise temperature at the desired frequency range. The proposed LNA operates at 20 K, consumes 115 mW of power, and provides a 37.2 ± 2.4 dB gain ( S21 ) with a noise temperature (figure) of 2.3 to 8.5 K (0.03 to 0.13 dB) and |S11|&lt;−10 dB.</t>
  </si>
  <si>
    <t>https://ieeexplore.ieee.org/document/9791109</t>
  </si>
  <si>
    <t>9/2022</t>
  </si>
  <si>
    <t>A 21–41-GHz Common-Gate LNA With TLT Matching Networks in 28-nm FDSOI CMOS</t>
  </si>
  <si>
    <t>Jooeun Lee; Songcheol Hong</t>
  </si>
  <si>
    <t>A wideband common-gate (CG) cascode low-noise amplifier (LNA) is demonstrated with a 28-nm fully depleted silicon on insulator (FDSOI) CMOS process. Wide bandwidth is achieved with a CG structure in the first stage and tightly coupled ( k=0.86 ) transmission line transformer (TLT) matching networks. A gm-boosting technique with cross-coupled capacitors improves the gain and noise figure (NF) of the CG amplifier. A high-input 1-dB gain compression point (IP1 dB) can be achieved by introducing an inter-stage inductor at the second-stage cascode amplifier. The LNA shows 19.3 dB gain, 3.1 dB NF, 19.8 GHz (63%) of 3 dB bandwidth, and −15.7 dBm IP1 dB at 28 GHz.</t>
  </si>
  <si>
    <t>https://ieeexplore.ieee.org/document/9765990</t>
  </si>
  <si>
    <t>8/2022</t>
  </si>
  <si>
    <t>A K-Band Ultra-Compact Gm-Boost LNA Using One Multi-Coupled Transformer in 65-nm CMOS</t>
  </si>
  <si>
    <t>Xiangyu Meng; Runling Zhou</t>
  </si>
  <si>
    <t>This letter presents an ultra-compact gm-boost low noise amplifier (LNA) with only one multi-coupled transformer for the first time. Implemented in 65-nm CMOS process, the proposed LNA achieves a measured peak gain of 10.5 dB with its 3-dB bandwidth ranging from 21 to 34.5 GHz and a noise figure (NF) of 2.5 dB at 28 GHz, while consuming 4-mW dc power. Based on the superior compactness of the transformer, the core area of the LNA is optimized to only 0.03 mm2 .</t>
  </si>
  <si>
    <t>https://ieeexplore.ieee.org/document/9737286</t>
  </si>
  <si>
    <t>A Linearity-Enhanced 18.7–36.5-GHz LNA With 1.5–2.1-dB NF for Radar Applications</t>
  </si>
  <si>
    <t>Zuojun Wang; Debin Hou; Zekun Li; Peigen Zhou; Zhe Chen; Jixin Chen; Wei Hong</t>
  </si>
  <si>
    <t>This letter presents a K -/ Ka -band gallium arsenide (GaAs) low-noise amplifier (LNA) for high dynamic range (DR) radar systems. The proposed LNA adopts a two-stage topology to acquire a compact chip size and low power consumption. A feedback circuit is employed in the second stage to achieve a wideband gain response. A diode-based adaptive bias circuit is designed to simultaneously improve the linearity and maintain a low drain current. In the 3-dB bandwidth from 18.7 to 36.5 GHz, the LNA achieves a maximum small-signal gain of 15.9 dB and a minimum noise figure (NF) of 1.5 dB. The measured input 1-dB compression point (IP 1dB ) is higher than −1 dBm, and the measured input-referred intercept point (IIP 3 ) is higher than 3.2 dBm in the operation band. The LNA has a chip size of 1.2 mm ×0.8 mm and the power consumption is 66 mW.</t>
  </si>
  <si>
    <t>https://ieeexplore.ieee.org/document/9756842</t>
  </si>
  <si>
    <t>A 76.5–92.6 GHz CMOS LNA Using Two-Port kQ-Product Theory for Transformer Design</t>
  </si>
  <si>
    <t>Youming Zhang; Zhennan Wei; Xusheng Tang; Linghan Zhang; Fengyi Huang</t>
  </si>
  <si>
    <t>This letter presents a convenient approach based on the two-port kQ -product theory to analyze the influence of interwinding capacitive coupling on the efficiency of the transformer. It is demonstrated that a transformer with proper size can benefit from the interwinding capacitive coupling to maximize its efficiency at a desired frequency. The proposed design approach is used in a W -band low-noise amplifier (LNA) fabricated with the 40-nm CMOS process to optimize the insertion loss of the input transformer-based balun. Thanks to the approach, the W -band LNA achieves a minimum noise figure of 5.7 dB, a maximum gain of 18.5 dB, and a 3-dB bandwidth of 76.5–92.6 GHz, while consuming 23.4 mW from a 0.9-V supply.</t>
  </si>
  <si>
    <t>https://ieeexplore.ieee.org/document/9769764</t>
  </si>
  <si>
    <t>A 26–31 GHz Linearized Wideband CMOS LNA Using Post-Distortion Technique</t>
  </si>
  <si>
    <t>Jiye Liu; Shubin Liu; Rong Zhou; Yinuo Gao; Tao Zhang; Xiaoxian Liu; Zhangming Zhu; Liang Wu</t>
  </si>
  <si>
    <t>This paper presents a modified post-distortion (PD) linearization technique for cascode common-gate low noise amplifiers (CG-LNAs) working at high frequencies up to millimeter-wave band. This technique utilizes an auxiliary transistor together with an inter-stage inductor to suppress the third order distortion without degrading gain. The input third order intercept point (IIP3) of the linearized CG-LNA is improved by a factor of up to 12 dB. For demonstration, an mm-wave differential CG-LNA was fabricated based on a 65-nm CMOS process. It achieves 2.4–10.6 dBm IIP3, 9.6–12 dB gain, 5.0–5.45 dB NF over 26–31 GHz and consumes 14.4 mW from a 1.2 V supply.</t>
  </si>
  <si>
    <t>https://ieeexplore.ieee.org/document/9764882</t>
  </si>
  <si>
    <t>12/2022</t>
  </si>
  <si>
    <t>A Low Power Sub-GHz Wideband LNA Employing Current-Reuse and Device-Reuse Positive Shunt-Feedback Technique</t>
  </si>
  <si>
    <t>Kuang-Wei Cheng; Wei-Wei Chen; Shang-De Yang</t>
  </si>
  <si>
    <t>This letter presents a low-power current-reuse and device-reuse low noise amplifier (LNA) for sub-GHz wideband applications. Based on the shunt-feedback common-gate (SFBCG) hybrid topology and the proposed current/device-reuse shunt-feedback (SFB) technique, gm restriction is alleviated. Moreover, the degree of design freedom is added by coupling the output to the gate of the in-phase current source transistor to activate positive feedback without extra power burden, thereby achieving a higher gain and lower noise design. Implemented in 90-nm CMOS technology, this LNA prototype has an active area of 0.075 mm2. The measurement results show a peak gain of 21.3 dB with 3-dB bandwidth of 50–800 MHz, noise figure of 4.5 dB, third-order intercept point (IIP3) of −7.1 dBm, and power dissipation of 1.2 mW.</t>
  </si>
  <si>
    <t>https://ieeexplore.ieee.org/document/9834266</t>
  </si>
  <si>
    <t>A 5.9 mW E-/W-Band SiGe-HBT LNA With 48 GHz 3-dB Bandwidth and 4.5-dB Noise Figure</t>
  </si>
  <si>
    <t>Eren Vardarli; Paulius Sakalas; Michael Schröter</t>
  </si>
  <si>
    <t>The theory, design, and implementation of a millimeter-wave (mm-wave) two-stage common-emitter (CE) low noise amplifier (LNA) using a 130-nm silicon-germanium (SiGe):C Bipolar CMOS technology is presented. The LNA was optimized for wideband performance from 62 to 110 GHz for both mm-wave radar/sensing and wireless communication applications. A two-stage broadband noise and impedance matching technique is used to obtain a relativity flat gain (13.5 dB) and noise figure (NF) (4.5 dB) across the E-/W-band. Low-voltage (VCC=0.7V) and low-power (5.9 mW) operation is achieved by forward biasing the base–collector junction, while the wideband capability is further improved by a T-type input matching network utilizing constant quality factor curves. To the best of authors’ knowledge, the presented LNA has the widest 3-dB bandwidth with the lowest power consumption in the literature for silicon-based E-/W-band LNAs.</t>
  </si>
  <si>
    <t>https://ieeexplore.ieee.org/document/9849023</t>
  </si>
  <si>
    <t>11/2022</t>
  </si>
  <si>
    <t>A 120–140-GHz LNA in 250-nm InP HBT</t>
  </si>
  <si>
    <t>Vikas Chauhan; Nadine Collaert; Piet Wambacq</t>
  </si>
  <si>
    <t>This letter presents a D -band low-noise amplifier (LNA) in 250-nm InP HBT technology for the next-generation wireless applications. The LNA has a measured peak gain of 13 dB, a 3-dB bandwidth greater than 20 GHz (120–140 GHz), and a measured noise figure (NF) of less than 6 dB in the band. A reduction in the 3-dB bandwidth from simulation was observed during the measurements which was attributed to the substrate waves using full chip electromagnetic (EM) simulation. EM simulations show that a partial or complete removal of the back side metallization of the InP substrate, holes in metal-1 ground plane, or a strategic placement of through-substrate vias suppress these substrate waves. To the authors’ knowledge, this is the first 120–140-GHz LNA in the InP 250-nm HBT technology.</t>
  </si>
  <si>
    <t>https://ieeexplore.ieee.org/document/9831185</t>
  </si>
  <si>
    <t>A Broadband 10–43-GHz High-Gain LNA MMIC Using Coupled-Line Feedback in 0.15-μm GaAs pHEMT Technology</t>
  </si>
  <si>
    <t>Xu Yan; Pengyu Yu; Jingyuan Zhang; Si-Ping Gao; Yongxin Guo</t>
  </si>
  <si>
    <t>In this letter, a 10–43-GHz low-noise amplifier (LNA) monolithic microwave integrated circuit (MMIC) is designed in a commercial 0.15- μm GaAs E-mode pseudomorphic high electron mobility transistor (pHEMT) technology. In the proposed LNA circuit, a novel coupled-line (CL)-based positive feedback structure is employed with the bandpass characteristic. By carefully tuning its coupling factor and arm length, the center frequency fc and the intensity of the feedback can be controlled, respectively. Subsequently, targeting fc at the higher cutting edge of the working band leads to compensated gain roll-off and extended bandwidth. Incorporating three-stage common-source (CS) architectures, an LNA prototype is fabricated with a size of 1.05 mm2 including pads. Under 2-V voltage drain drain (VDD), good performance is obtained, including 24.6-dB peak gain with 3-dB bandwidth of 33 GHz, 2.4–3.0-dB noise figure (NF), 54.5 ± 13.8-ps group delay, and 12.3/21.5-dBm best output power at 1 dB gain compression (OP1dB)/output third order intercept point (OIP3). The total dc power is 110 mW.</t>
  </si>
  <si>
    <t>https://ieeexplore.ieee.org/document/9844260</t>
  </si>
  <si>
    <t>25–31 GHz GaN-Based LNA MMIC Employing Hybrid-Matching Topology for 5G Base Station Applications</t>
  </si>
  <si>
    <t>Hyun Bae Ahn; Hong-Gu Ji; Yunho Choi; Sanghun Lee; Dong Min Kang; Junghwan Han</t>
  </si>
  <si>
    <t>This letter presents a gallium nitride (GaN) high electron mobility transistor (HEMT)-based three-stage low noise amplifier (LNA) monolithic microwave integrated circuit (MMIC) that can apply to the fifth-generation (5G) new radio base station applications. The designed GaN-based LNA MMIC utilizes a hybrid-matching topology with double-shunt capacitors at input and output (I/O) matching networks to achieve broad return loss (RL) and bandwidth characteristics across 5G frequency range two bands. The design is fabricated in a 0.15 μ m GaN on silicon carbide technology and attains small signal gains greater than 21 dB, noise figures of 2.4–2.9 dB, 1-dB compression points greater than 19.1 dBm, output third-order intercept points greater than 28.5 dBm, and I/O RLs greater than 10 dB at 25–31 GHz band. The implemented design consumes a power of approximately 300 mW.</t>
  </si>
  <si>
    <t>https://ieeexplore.ieee.org/document/9873896</t>
  </si>
  <si>
    <t>A 28-/39-GHz Dual-Band CMOS LNA With Shunt-Series Transformer Feedback</t>
  </si>
  <si>
    <t>Jiye Liu; Shubin Liu; Yinuo Gao; Xiaoxian Liu; Zhangming Zhu</t>
  </si>
  <si>
    <t>This letter presents a concurrent dual-band low-noise amplifier (LNA) operating at 28 and 39 GHz for multiband 5G wireless systems. In order to achieve a wideband input power matching, the LNA adopts a shunt-series feedback structure. Detailed noise analysis of the shunt-series transformer feedback LNA is proposed to guide the noise-optimized design, and a modified input network is proposed to improve the noise matching. The modified method also enhances the transconductance of the input stage, thus suppressing the noise of the subsequent circuit and obtaining a better overall noise figure (NF). Based on this input structure, a dual-band LNA with excellent NF is designed in a 65-nm complimentary metal–oxide–semiconductor (CMOS) process. This dual-band LNA achieves 18.1/18.4-dB gain and 3.1/3.8-dB NF at 28/39 GHz, consuming 10.2 mW from a 1.0-V power supply.</t>
  </si>
  <si>
    <t>https://ieeexplore.ieee.org/document/9873900</t>
  </si>
  <si>
    <t>Dual band design</t>
  </si>
  <si>
    <t>A 140–220-GHz Low-Noise Amplifier With 6-dB Minimum Noise Figure and 80-GHz Bandwidth in 130-nm SiGe BiCMOS</t>
  </si>
  <si>
    <t>Yash Mehta; Sidharth Thomas; Aydin Babakhani</t>
  </si>
  <si>
    <t>This letter presents an ultra-broadband low-noise amplifier (LNA) with a 3-dB bandwidth of 80 GHz, covering the entire WR5 frequency band (140–220 GHz). Broadband gain and noise performance are obtained through optimal bias selection, dc coupling, and stagger tuning. Y -factor noise figure (NF) measurement results are presented. A NF of 6.9, 6.1, and 8.2 dB is measured at 150, 180, and 210 GHz. Implemented in IHP 130-nm SiGe BiCMOS process, the LNA has a peak gain of 15.5 dB, while consuming 46-mW dc power.</t>
  </si>
  <si>
    <t>https://ieeexplore.ieee.org/document/9905656</t>
  </si>
  <si>
    <t>Dual-Band CMOS Low-Noise Amplifier Employing Transformer-Based Band-Switchable Load for 5G NR FR2 Applications</t>
  </si>
  <si>
    <t>Beomsoo Bae; Eunsoo Kim; Segyeong Kim; Junghwan Han</t>
  </si>
  <si>
    <t>This letter presents a dual-band complementary metal–oxide–semiconductor (CMOS) low-noise amplifier (LNA) for fifth-generation (5G) new radio (NR) frequency range 2 (FR2) applications. The proposed design utilizes a transformer-based band-switchable load to tune resonance conditions in the 26–30-and 37–40-GHz bands. Through on–off control of the transformer functionality, the primary inductance can be adjusted with lesser quality-factor ( Q -factor) degradation compared to the conventional direct inductor switching approach. The proposed design is implemented using a 65-nm CMOS process. At 28 and 39 GHz, respectively, the gains of 13.7 and 13.1 dB, noise figures (NFs) of 3.8 and 4.1 dB, input 1-dB compression points of − 15.2 and − 16 dBm, and input third-order intercept points of − 7.15 and − 6.85 dBm are realized. The implemented design draws a bias current of 11.6 mA with a 1-V supply.</t>
  </si>
  <si>
    <t>https://ieeexplore.ieee.org/document/9945636</t>
  </si>
  <si>
    <t>3/2023</t>
  </si>
  <si>
    <t>1/2023</t>
  </si>
  <si>
    <t>A K-Band Hybrid-Packaged Temperature-Compensated Phased-Array Receiver and Integrated Antenna Array</t>
  </si>
  <si>
    <t>This article presents an eight-channel 1.9-dB noise figure (NF) K -band phased-array receiver (RX) for satellite communication (SATCOM). It employs the hybrid-packaged 65-nm CMOS beamformer and 0.1- μm GaAs low-noise amplifiers (LNAs) based on the fan-out wafer-level chip-scale packaging (WLCSP) technology. For the power-efficient RX implementation, the power consumption of gain and phase tuning blocks is discussed, and the fully passive phase shifter (PS) and attenuator (ATT) are employed in this work. A global biasing scheme is proposed to ensure performance uniformity across temperature variations. Across the SATCOM band of 17.7–20.2 GHz, the proposed hybrid-packaged phased-array RX IC only consumes 30.2-mW dc power per channel and achieves &lt; 1.2-dB gain variation and &lt; 0.9-dB NF variation from −40° to 85 °C. Based on the RX IC, a dual-polarized 1024-element RX antenna array is further introduced. The measured gain-to-noise temperature ratios (G/Ts) are 6.22 and 6.51 dB/K at 19.7 GHz for left- and right-hand circular polarizations, respectively.</t>
  </si>
  <si>
    <t>https://ieeexplore.ieee.org/document/9976265</t>
  </si>
  <si>
    <t>Dixian Zhao; Peng Gu; Yongran Yi; Jiajun Zhang; Chenyu Xu; Mengru Yang; Zhihui Chen; Yuan Chai; Huiqi Liu; Shan Jiang; Xiangxi Yan, Xiaohu You</t>
  </si>
  <si>
    <t>6/2023</t>
  </si>
  <si>
    <r>
      <t xml:space="preserve">This article presents a single-stage single-ended (SE) and a multistage pseudo-differential cascode low-noise amplifiers (D-LNA) with their center frequencies at 235 and 290 GHz, respectively. Both low-noise amplifiers (LNAs) are designed beyond half of the maximum frequency of oscillation ( </t>
    </r>
    <r>
      <rPr>
        <i/>
        <sz val="13.2"/>
        <color theme="1"/>
        <rFont val="MathJax_Math"/>
      </rPr>
      <t>f</t>
    </r>
    <r>
      <rPr>
        <sz val="7.75"/>
        <color theme="1"/>
        <rFont val="MathJax_Main"/>
      </rPr>
      <t>max</t>
    </r>
    <r>
      <rPr>
        <sz val="11"/>
        <color theme="1"/>
        <rFont val="Calibri"/>
        <family val="2"/>
        <scheme val="minor"/>
      </rPr>
      <t xml:space="preserve"> ) in 130-nm SiGe BiCMOS technology with </t>
    </r>
    <r>
      <rPr>
        <i/>
        <sz val="13.2"/>
        <color theme="1"/>
        <rFont val="MathJax_Math"/>
      </rPr>
      <t>f</t>
    </r>
    <r>
      <rPr>
        <i/>
        <sz val="7.75"/>
        <color theme="1"/>
        <rFont val="MathJax_Math"/>
      </rPr>
      <t>t</t>
    </r>
    <r>
      <rPr>
        <sz val="13.2"/>
        <color theme="1"/>
        <rFont val="MathJax_Main"/>
      </rPr>
      <t>/</t>
    </r>
    <r>
      <rPr>
        <i/>
        <sz val="13.2"/>
        <color theme="1"/>
        <rFont val="MathJax_Math"/>
      </rPr>
      <t>f</t>
    </r>
    <r>
      <rPr>
        <sz val="7.75"/>
        <color theme="1"/>
        <rFont val="MathJax_Main"/>
      </rPr>
      <t>max</t>
    </r>
    <r>
      <rPr>
        <sz val="11"/>
        <color theme="1"/>
        <rFont val="Calibri"/>
        <family val="2"/>
        <scheme val="minor"/>
      </rPr>
      <t xml:space="preserve"> of 300 </t>
    </r>
    <r>
      <rPr>
        <sz val="13.2"/>
        <color theme="1"/>
        <rFont val="MathJax_Main"/>
      </rPr>
      <t>/</t>
    </r>
    <r>
      <rPr>
        <sz val="11"/>
        <color theme="1"/>
        <rFont val="Calibri"/>
        <family val="2"/>
        <scheme val="minor"/>
      </rPr>
      <t xml:space="preserve"> 450 GHz. Implications of gain-boosting and noise reduction techniques in cascode structure are analyzed and it is observed that beyond </t>
    </r>
    <r>
      <rPr>
        <i/>
        <sz val="13.2"/>
        <color theme="1"/>
        <rFont val="MathJax_Math"/>
      </rPr>
      <t>f</t>
    </r>
    <r>
      <rPr>
        <sz val="7.75"/>
        <color theme="1"/>
        <rFont val="MathJax_Main"/>
      </rPr>
      <t>max</t>
    </r>
    <r>
      <rPr>
        <sz val="13.2"/>
        <color theme="1"/>
        <rFont val="MathJax_Main"/>
      </rPr>
      <t>/2</t>
    </r>
    <r>
      <rPr>
        <sz val="11"/>
        <color theme="1"/>
        <rFont val="Calibri"/>
        <family val="2"/>
        <scheme val="minor"/>
      </rPr>
      <t xml:space="preserve"> , these techniques do not provide desired benefits. The single-stage SE LNA is designed to ascertain the theoretical analysis, and the same analysis is further implemented in staggered tuned four-stage LNA. Single-stage SE LNA provides a small signal gain of 7.8 dB at 235 GHz with 50 GHz of 3-dB bandwidth by consuming 18 mW of power. Four-stage differential LNA gives 12.9 dB of gain at center frequency 290 GHz and 11.2 dB at 300 GHz by drawing 68 mA current from the 2-V supply. The 3-dB bandwidth of differential LNA is measured to be 23 GHz. Noise figure measurements of both LNAs are performed using a gain-method technique with their measured noise figure values of 11 and 16 dB, respectively. This work successfully demonstrates the possibility of using a Si-based process to implement amplifiers beyond </t>
    </r>
    <r>
      <rPr>
        <i/>
        <sz val="13.2"/>
        <color theme="1"/>
        <rFont val="MathJax_Math"/>
      </rPr>
      <t>f</t>
    </r>
    <r>
      <rPr>
        <sz val="7.75"/>
        <color theme="1"/>
        <rFont val="MathJax_Main"/>
      </rPr>
      <t>max</t>
    </r>
    <r>
      <rPr>
        <sz val="13.2"/>
        <color theme="1"/>
        <rFont val="MathJax_Main"/>
      </rPr>
      <t>/2</t>
    </r>
    <r>
      <rPr>
        <sz val="11"/>
        <color theme="1"/>
        <rFont val="Calibri"/>
        <family val="2"/>
        <scheme val="minor"/>
      </rPr>
      <t xml:space="preserve"> . To the authors’ best knowledge, the four-stage differential LNA achieves, without any gain-boosting technique, the highest gain at </t>
    </r>
    <r>
      <rPr>
        <sz val="13.2"/>
        <color theme="1"/>
        <rFont val="MathJax_Main"/>
      </rPr>
      <t>2/3(</t>
    </r>
    <r>
      <rPr>
        <i/>
        <sz val="13.2"/>
        <color theme="1"/>
        <rFont val="MathJax_Math"/>
      </rPr>
      <t>f</t>
    </r>
    <r>
      <rPr>
        <sz val="7.75"/>
        <color theme="1"/>
        <rFont val="MathJax_Main"/>
      </rPr>
      <t>max</t>
    </r>
    <r>
      <rPr>
        <sz val="13.2"/>
        <color theme="1"/>
        <rFont val="MathJax_Main"/>
      </rPr>
      <t>)</t>
    </r>
    <r>
      <rPr>
        <sz val="11"/>
        <color theme="1"/>
        <rFont val="Calibri"/>
        <family val="2"/>
        <scheme val="minor"/>
      </rPr>
      <t xml:space="preserve"> with decent noise figure performance in SiGe technology.</t>
    </r>
  </si>
  <si>
    <t>Design Aspects of Single-Ended and Differential SiGe Low-Noise Amplifiers Operating Above fmax/2 in Sub-THz/THz Frequencies</t>
  </si>
  <si>
    <t>https://ieeexplore.ieee.org/document/10103866</t>
  </si>
  <si>
    <t>A 4.9–7.1-GHz High-Efficiency Post-Matching GaN Front-End Module for Wi-Fi 7 Application</t>
  </si>
  <si>
    <t>This article presents a modified transmit/receive (T/R) front-end module (FEM) architecture with improved transmitter (TX) efficiency. Single-pole double-throw (SPDT) switch is commonly adopted in conventional FEM for T/R isolation, but its insertion loss (IL) deteriorates TX efficiency greatly. To alleviate this problem, a post-matching (PM) architecture is proposed to eliminate the switch in the TX branch. Specifically, a PM network (PMN) is employed to transform 50- Ω impedance at the antenna port into the intrinsic optimal load impedance of the power amplifier (PA), while the output capacitance of the PA is absorbed into a λ /4-transmission-line (TL)-based single-pole single-throw (SPST) switch in the receiver (RX) branch. The drain voltage of the PA can also be supplied via the SPST, avoiding the use of an additional choke inductor. The theoretical performance of the T/R switch, including bandwidth, IL, and isolation, is analyzed in depth. A 4.9–7.1-GHz FEM for Wi-Fi 7 application is implemented in a commercial 0.15- μ m gallium nitride (GaN)-high-electron-mobility transistor (HEMT) process to validate the proposed architecture, and the chip size is only 2 × 1.6 mm. The TX mode realizes a saturated power of 37.1–38.6 dBm and a saturated power-added efficiency (PAE) of 45%–52.4%. With MCS9 EHT160 signals, an average PAE of 18.5%–23.3% at an average power of 28–29.9 dBm is measured, while the error vector magnitude (EVM) specification of − 32 dB is met. When digital predistortion (DPD) is applied, MCS13 EHT320 signals are also supported. The RX mode achieves a gain of 9.1–12.1 dB, a noise figure (NF) of 1.6–1.9 dB, and an input-referred third-order intercept point (IIP3) of 20.2–25.4 dBm.</t>
  </si>
  <si>
    <t>Guansheng Lv, Wenhua Chen, Long Chen, Fadhel M. Ghannouchi, Zhenghe Feng</t>
  </si>
  <si>
    <t>https://ieeexplore.ieee.org/document/10172174</t>
  </si>
  <si>
    <t>2/2023</t>
  </si>
  <si>
    <t>A 4.8dB NF, 70-to-86GHz Deep-Noise-Canceling LNA Using Asymmetric Compensation Transformer and 4-to-1 Hybrid-Phase Combiner in 40nm CMOS</t>
  </si>
  <si>
    <t>Changxuan Han;Jie Zhou;Zhixian Deng;Yiyang Shu;Xun Luo</t>
  </si>
  <si>
    <r>
      <t xml:space="preserve">Increasing demands on high data-rates accelerate the development of low-noise receiver systems for modern wireless applications, such as multi-Gb/s data-rate E-band cellular backhaul networks [1]. The noise from a low-noise amplifier (LNA) is the main part of the total noise for a receiver system. Thus, noise figure (NF) is one of the most crucial features for the LNA. To decrease the NF of an LNA, a common approach utilizes a noisecanceling technique [2]. In this way, an additional auxiliary amplifier is introduced to counteract noise generated by the main amplifier. The conventional implementation is a common-gate (CG)-based topology in the first stage of the LNA (Fig. 25.3.1 top). However, due to the influence of parasitics from transistors and routings at a millimeterwave band, there are unavoidable amplitude and phase mismatches for signals and noises between CG and common-source (CS) paths. For analysis, </t>
    </r>
    <r>
      <rPr>
        <sz val="13.2"/>
        <color theme="1"/>
        <rFont val="MathJax_SansSerif"/>
      </rPr>
      <t>A</t>
    </r>
    <r>
      <rPr>
        <sz val="7.75"/>
        <color theme="1"/>
        <rFont val="MathJax_SansSerif"/>
      </rPr>
      <t>G</t>
    </r>
    <r>
      <rPr>
        <sz val="11"/>
        <color theme="1"/>
        <rFont val="Calibri"/>
        <family val="2"/>
        <scheme val="minor"/>
      </rPr>
      <t xml:space="preserve"> and </t>
    </r>
    <r>
      <rPr>
        <sz val="13.2"/>
        <color theme="1"/>
        <rFont val="MathJax_SansSerif"/>
      </rPr>
      <t>A</t>
    </r>
    <r>
      <rPr>
        <sz val="7.75"/>
        <color theme="1"/>
        <rFont val="MathJax_SansSerif"/>
      </rPr>
      <t>S</t>
    </r>
    <r>
      <rPr>
        <sz val="11"/>
        <color theme="1"/>
        <rFont val="Calibri"/>
        <family val="2"/>
        <scheme val="minor"/>
      </rPr>
      <t xml:space="preserve"> are defined as the gain reduction in CG and CS paths, respectively. Thus, an amplitude mismatch of </t>
    </r>
    <r>
      <rPr>
        <sz val="13.2"/>
        <color theme="1"/>
        <rFont val="MathJax_SansSerif"/>
      </rPr>
      <t>A</t>
    </r>
    <r>
      <rPr>
        <sz val="7.75"/>
        <color theme="1"/>
        <rFont val="MathJax_SansSerif"/>
      </rPr>
      <t>G</t>
    </r>
    <r>
      <rPr>
        <sz val="13.2"/>
        <color theme="1"/>
        <rFont val="MathJax_Main"/>
      </rPr>
      <t>/</t>
    </r>
    <r>
      <rPr>
        <sz val="13.2"/>
        <color theme="1"/>
        <rFont val="MathJax_SansSerif"/>
      </rPr>
      <t>A</t>
    </r>
    <r>
      <rPr>
        <sz val="7.75"/>
        <color theme="1"/>
        <rFont val="MathJax_SansSerif"/>
      </rPr>
      <t>S</t>
    </r>
    <r>
      <rPr>
        <sz val="11"/>
        <color theme="1"/>
        <rFont val="Calibri"/>
        <family val="2"/>
        <scheme val="minor"/>
      </rPr>
      <t xml:space="preserve"> exists between CG and CS paths. Besides, </t>
    </r>
    <r>
      <rPr>
        <sz val="13.2"/>
        <color theme="1"/>
        <rFont val="MathJax_Main"/>
      </rPr>
      <t>Δ</t>
    </r>
    <r>
      <rPr>
        <i/>
        <sz val="13.2"/>
        <color theme="1"/>
        <rFont val="MathJax_Math"/>
      </rPr>
      <t>φ</t>
    </r>
    <r>
      <rPr>
        <sz val="11"/>
        <color theme="1"/>
        <rFont val="Calibri"/>
        <family val="2"/>
        <scheme val="minor"/>
      </rPr>
      <t xml:space="preserve"> is the phase mismatch between the two paths. From the equation in Fig. 25.3.1, the noise factor of the CG-based stage </t>
    </r>
    <r>
      <rPr>
        <sz val="13.2"/>
        <color theme="1"/>
        <rFont val="MathJax_Main"/>
      </rPr>
      <t>(</t>
    </r>
    <r>
      <rPr>
        <sz val="13.2"/>
        <color theme="1"/>
        <rFont val="MathJax_SansSerif"/>
      </rPr>
      <t>F</t>
    </r>
    <r>
      <rPr>
        <sz val="7.75"/>
        <color theme="1"/>
        <rFont val="MathJax_Main"/>
      </rPr>
      <t>1</t>
    </r>
    <r>
      <rPr>
        <sz val="13.2"/>
        <color theme="1"/>
        <rFont val="MathJax_Main"/>
      </rPr>
      <t>)</t>
    </r>
    <r>
      <rPr>
        <sz val="11"/>
        <color theme="1"/>
        <rFont val="Calibri"/>
        <family val="2"/>
        <scheme val="minor"/>
      </rPr>
      <t xml:space="preserve"> is deteriorated with the increase of mismatch. The effect of noise cancellation is weakened due to the mismatches, while the power of the combined signal is reduced. Besides, since the transconductance of transistors becomes low with increasing frequency, the power gain of the LNA first stage is limited, which leads to a dominant noise contribution from the second stage </t>
    </r>
    <r>
      <rPr>
        <sz val="13.2"/>
        <color theme="1"/>
        <rFont val="MathJax_Main"/>
      </rPr>
      <t>(</t>
    </r>
    <r>
      <rPr>
        <sz val="13.2"/>
        <color theme="1"/>
        <rFont val="MathJax_SansSerif"/>
      </rPr>
      <t>F</t>
    </r>
    <r>
      <rPr>
        <sz val="7.75"/>
        <color theme="1"/>
        <rFont val="MathJax_Main"/>
      </rPr>
      <t>2</t>
    </r>
    <r>
      <rPr>
        <sz val="13.2"/>
        <color theme="1"/>
        <rFont val="MathJax_Main"/>
      </rPr>
      <t>)</t>
    </r>
    <r>
      <rPr>
        <sz val="11"/>
        <color theme="1"/>
        <rFont val="Calibri"/>
        <family val="2"/>
        <scheme val="minor"/>
      </rPr>
      <t xml:space="preserve"> to the total noise of the LNA. Then, to improve the gain of the first stage, </t>
    </r>
    <r>
      <rPr>
        <sz val="13.2"/>
        <color theme="1"/>
        <rFont val="MathJax_SansSerif"/>
      </rPr>
      <t>G</t>
    </r>
    <r>
      <rPr>
        <sz val="7.75"/>
        <color theme="1"/>
        <rFont val="MathJax_SansSerif"/>
      </rPr>
      <t>m</t>
    </r>
    <r>
      <rPr>
        <sz val="11"/>
        <color theme="1"/>
        <rFont val="Calibri"/>
        <family val="2"/>
        <scheme val="minor"/>
      </rPr>
      <t xml:space="preserve"> -boosting techniques are widely used in millimeter-wave bands [2–6]. However, with increased </t>
    </r>
    <r>
      <rPr>
        <sz val="13.2"/>
        <color theme="1"/>
        <rFont val="MathJax_SansSerif"/>
      </rPr>
      <t>G</t>
    </r>
    <r>
      <rPr>
        <sz val="7.75"/>
        <color theme="1"/>
        <rFont val="MathJax_SansSerif"/>
      </rPr>
      <t>m</t>
    </r>
    <r>
      <rPr>
        <sz val="11"/>
        <color theme="1"/>
        <rFont val="Calibri"/>
        <family val="2"/>
        <scheme val="minor"/>
      </rPr>
      <t xml:space="preserve"> , the amplitude and phase mismatches between CG ...</t>
    </r>
  </si>
  <si>
    <t>https://ieeexplore.ieee.org/document/10067549</t>
  </si>
  <si>
    <t>MWCL/MWTL</t>
  </si>
  <si>
    <t>5/2023</t>
  </si>
  <si>
    <t>A 30–50-GHz Ultralow-Power Low-Noise Amplifier With Second-Stage Current-Reuse for Radio Astronomical Receivers in 90-nm CMOS Process</t>
  </si>
  <si>
    <t>Wei-Zhi Huang; Yunshan Wang; Shih-Wei Liu; Chau-Ching Chiong; Huei Wang</t>
  </si>
  <si>
    <r>
      <t xml:space="preserve">A Q-band (30–50 GHz) ultralow-power low-noise amplifier (LNA) for radio astronomical receivers in 90-nm CMOS technology is presented in this letter. A common source stage with source degeneration is utilized for simultaneous noise and impedance matching. To achieve high gain and low power consumption, the current-reused technique is adopted in this work. According to measurement, the proposed Q-band LNA achieves a 20.5-dB small signal gain with 26-GHz 3-dB bandwidth (25.5–51.5 GHz) and the lowest in-band noise figure (NF) of 4.2-dB noise. The LNA consumes only 10.1 mW with a compact chip area of </t>
    </r>
    <r>
      <rPr>
        <sz val="13.2"/>
        <color theme="1"/>
        <rFont val="MathJax_Main"/>
      </rPr>
      <t>0.6×</t>
    </r>
    <r>
      <rPr>
        <sz val="11"/>
        <color theme="1"/>
        <rFont val="Calibri"/>
        <family val="2"/>
        <scheme val="minor"/>
      </rPr>
      <t xml:space="preserve"> 1 mm2. Although this LNA is fabricated in 90-nm CMOS process, it achieves the state-of-the-art figure of merit (FOM) compared to other advanced CMOS processes.</t>
    </r>
  </si>
  <si>
    <t>https://ieeexplore.ieee.org/document/10004879</t>
  </si>
  <si>
    <t>4/2023</t>
  </si>
  <si>
    <t>A Sub-GHz Low-Power Receiver Employing Resistive-Feedback-Tuned LNA With 2.1-dB NF and 106-dB Gain Tuning Range</t>
  </si>
  <si>
    <t>Liying Cai; Zhenghao Lu; Nick Nianxiong Tan; Hanming Wu; Xiaopeng Yu</t>
  </si>
  <si>
    <t>This letter presents a configurable sub-GHz low-power receiver achieving a low noise figure (NF) and a large gain tuning range. An inverter-based low-noise amplifier (LNA) with a resistive-feedback-tuning technique is realized to achieve low power and optimize NF while tuning the gain level. Implemented in 130-nm CMOS technology, this receiver occupies an active area of 2.3 mm2. It achieves a low power of 3.63 mW over a large gain tuning range of 106 dB in 6 dB steps. It also achieves a low NF of 2.1 dB and an image rejection ratio (IRR) of over 37.1 dB.</t>
  </si>
  <si>
    <t>https://ieeexplore.ieee.org/document/10004886</t>
  </si>
  <si>
    <t>Frequency-Reconfigurable Dual-Band Low-Noise Amplifier With Interstage Gm-Boosting for Millimeter-Wave 5G Communication</t>
  </si>
  <si>
    <t>Seungchan Lee; Songcheol Hong</t>
  </si>
  <si>
    <t>A differential low-noise amplifier (LNA) for the 5G n257 band and a frequency reconfigurable differential LNA for both the 5G n257 and n260 bands (26.5–29.5 and 37–40 GHz), fabricated in a 65-nm CMOS process, are presented. Both LNAs achieve better gain and noise figure performances due to the use of magnetically coupled gm-boosting in the common-gate stage of a cascode amplifier. Furthermore, the frequency-reconfigurable LNA uses frequency reconfigurable matching circuits at the input, interstage, and output to achieve optimal noise and gain matchings for each band. The single band LNA has a core chip area of 0.11 mm2, a peak gain of 11.9 dB, a 3-dB bandwidth of 5.3 GHz, and a noise figure of 2.79 dB at 28.5 GHz. The dual-band LNA is capable of dual-band operation due to the reconfiguring matching circuits with switched coupled inductors (SCIs) and switched capacitors. It has a core chip area of 0.12 mm2, peak gains of 11.1/8.5 dB, 3-dB bandwidths of 4.8/9.4 GHz, and minimum noise figures of 3.49/4.01 dB at 28.5/38 GHz, respectively.</t>
  </si>
  <si>
    <t>https://ieeexplore.ieee.org/document/10004858</t>
  </si>
  <si>
    <t>A Broadband LNA With Multiple Bandwidth Enhancement Techniques</t>
  </si>
  <si>
    <t>Jiaxuan Li; Yang Yuan; Jialong Zeng; Ding He; Zhongjun Yu</t>
  </si>
  <si>
    <t>This letter presents a broadband multistage low-noise amplifier (LNA) in a 0.15- μm GaAs pseudomorphic high-electron-mobility (pHEMT) process. The LNA employs multiple bandwidth extension techniques, including cascode, feedback, and gain-enhanced source–drain coupled line (SDCL). The SDCL enhances the gain by combining the source and drain signals and compensates the gain roll-off of the amplifier, which is first proposed in this letter to our knowledge. These techniques are adopted in a three-stage monolithic microwave integrated circuit (MMIC) LNA, achieving a wide bandwidth with high gain. The measured results show that the LNA obtains an average gain of 24.7 dB and a noise figure (NF) of 1.7–2.8 dB in 0.5–24 GHz, with a compact chip area of only 1.47 mm2.</t>
  </si>
  <si>
    <t>https://ieeexplore.ieee.org/document/10012317</t>
  </si>
  <si>
    <t>Millimeter-Wave CMOS Low-Noise Amplifier With High Gain and Compact Footprint</t>
  </si>
  <si>
    <t>Yun Qian; Yizhu Shen; Sanming Hu</t>
  </si>
  <si>
    <t>For millimeter-Wave (mm-Wave) communications, this letter proposes a low-noise amplifier (LNA) topology by using gain-boosting and negative feedback techniques. In the proposed two-stage LNA, the first stage combines these two techniques to achieve a trade-off between gain and bandwidth. Following that, in the cascode structure, inductors are used to compensate for the parasitic capacitance of the transistors. To validate the proposed topology at a low cost, an mm-Wave LNA is designed and fabricated in a 180 nm CMOS process. Using two stages only, it achieves a maximum gain of 14.1 dB at 24.8 GHz, which is comparable to that of classical LNAs with three stages, and the chip footprint is reduced by 43%.</t>
  </si>
  <si>
    <t>https://ieeexplore.ieee.org/document/10054134</t>
  </si>
  <si>
    <t>A SiGe HBT D-Band LNA Utilizing Asymmetric Broadside Coupled Lines</t>
  </si>
  <si>
    <t>Arya Moradinia; Sunil G. Rao; John D. Cressler</t>
  </si>
  <si>
    <r>
      <t xml:space="preserve">This letter presents a D-band low noise amplifier (LNA) implemented in 90 nm SiGe BiCMOS technology and is intended for next-generation communications systems. The LNA is a five-stage staggered common-emitter and cascode design used to simultaneously achieve wide bandwidth and high gain. The LNA utilizes asymmetric broadside coupled lines as interstage impedance transformers to achieve a wideband gain response while constraining power consumption. The presented LNA achieves an in-band gain of 26.5 dB and a bandwidth of 37.6 GHz. The minimum measured NF is 7.2 dB, and the dc power consumption is 20.6 mW. This D-band LNA achieves high gain, wide bandwidth, and low power consumption, resulting in a competitive performance with other D-band LNAs in the literature. The die area of the fabricated LNA is </t>
    </r>
    <r>
      <rPr>
        <sz val="13.2"/>
        <color theme="1"/>
        <rFont val="MathJax_Main"/>
      </rPr>
      <t>0.8×0.86</t>
    </r>
    <r>
      <rPr>
        <sz val="11"/>
        <color theme="1"/>
        <rFont val="Calibri"/>
        <family val="2"/>
        <scheme val="minor"/>
      </rPr>
      <t xml:space="preserve"> mm2, including pads.</t>
    </r>
  </si>
  <si>
    <t>https://ieeexplore.ieee.org/document/10056980</t>
  </si>
  <si>
    <t>An In-Band Full-Duplex Low Noise Amplifier Integrated With an Electrical Balance Duplexer Without Explicit Matching</t>
  </si>
  <si>
    <t>Jeong-Taek Lim, Han-Woong Choi, Jae-Heyok Song, Choul-Young Kim</t>
  </si>
  <si>
    <t>This letter presents a low noise amplifier (LNA) integrated with an electrical-balance duplexer (EBD) for in-band full duplex operation in a 65-nm bulk CMOS process. A simultaneous noise and input matching (SNIM) structure consisting of a large transistor and hybrid transformer for EBD is proposed. The proposed structure does not require an additional matching circuit between the LNA and the antenna (ANT). Furthermore, the use of a large transistor in the SNIM helps minimize the noise figure (NF). The core size of this LNA is 0.86 × 0.33 mm 2 . The measurement results show 14.6–16.5 dB ANT-RX (receiver) gain, 4.29–4.53 dB TX-ANT loss, 30.6–34.5 dB isolation, and 5.33–5.37 dB NF. The LNA has an input 1-dB compression point (IP1dB) of − 18.1 dBm at 15 GHz and the power consumption is 22 mW.</t>
  </si>
  <si>
    <t>https://ieeexplore.ieee.org/document/10113161</t>
  </si>
  <si>
    <t>A 0.4-to-30 GHz CMOS Low Noise Amplifier With Input-Referred Noise Reduction and Coupled-Inductive-Peaking Technique</t>
  </si>
  <si>
    <t>Haitang Dong; Keping Wang; Geliang Yang; Shiyue Ma; Kaixue Ma</t>
  </si>
  <si>
    <t>This letter reports a broadband low-noise amplifier (LNA) with input-referred noise reduction and coupled-inductive-peaking technique in a CMOS technology. First, a combination of resistive-feedback and inductive-degeneration technique is proposed to mitigate the input-referred noise. The high-frequency noise currents generated by the feedback resistor and input transistors are partially suppressed by a gate inductor. Second, the LNA utilizes a two-stage coupled-inductive-peaking technique to achieve high and flat S21 . The chip is fabricated in a 55-nm CMOS technology. It achieves a peak gain of 20.3 dB with a 3-dB bandwidth of 0.4-to-30 GHz and a minimum NF of 2.5 dB. The output-referred 1-dB compression point (OP1dB) is ≥ –8 dBm over the entire 3-dB gain bandwidth. The chip consumes a total power of 23.5 mW under a 1.5 V power supply. The core circuit occupies an area of 0.39 mm2</t>
  </si>
  <si>
    <t>https://ieeexplore.ieee.org/document/10114806</t>
  </si>
  <si>
    <t>0.3–1.5-GHz LNA With Wideband Noise and Power Matching for Radio Astronomy</t>
  </si>
  <si>
    <t>Mark Lai, Vincent MacKay, Dallas Wulf, Peter Shmerko, Leonid Belostotski</t>
  </si>
  <si>
    <t>This letter presents a low-noise amplifier (LNA) that was developed for a new radio telescope comprised of 512 parabolic dish antennas. The LNA closely interfaces to a custom-made antenna feed with an impedance co-designed to provide noise matching over a 5:1 bandwidth (BW). Additionally, a method of broadband noise and power matching that allows the input impedance to be controlled independent of the optimum signal-source impedance to achieve minimum noise is also discussed. When measured in a 50- Ω system, the LNA exhibits a return loss (RL) of &gt; 8 dB between 0.32 and 1.5 GHz, S21 of 32 ± 1.2 dB, IP1dB &gt; − 37 dBm, and IIP3 &gt; − 20 dBm. Noise parameter measurements show Tmin ≈ 13 ± 4 K and noise temperatures T50Ω ≈ 18 ± 6 K between 0.5 and 1.4 GHz</t>
  </si>
  <si>
    <t>https://ieeexplore.ieee.org/document/10124757</t>
  </si>
  <si>
    <t>A 6–21-GHz Wideband Novel Current-Reuse LNA With Simultaneous Noise and Input Matching</t>
  </si>
  <si>
    <t>Xiaojie Zhang, Kuisong Wang, Xiaoxin Liang, Yeupeng Yan</t>
  </si>
  <si>
    <t>This letter describes the design of a 6–21 GHz monolithic microwave integrated circuit (MMIC) low-noise amplifier (LNA) for ultra wideband (UWB) communication systems. At lower power consumption, a higher and flat gain of 23 ± 0.8 dB is achieved through the novel current-reuse configuration. The degeneration inductor and matching network are utilized to realize the simultaneous optimum matching for noise and input. The proposed LNA in 0.15 μm GaAs pHEMT process achieves 1.03–1.76 dB noise figure (NF) and input return loss of more than 13 dB simultaneously. The LNA exhibits output return loss of more than 8 dB and output 1 dB compression point (OP 1dB ) of 9.5–13.6 dBm, − 2.5 to 2 dBm IIP3. The fabricated LNA consumes 135 mW from a 5 V supply and occupies a chip area of 1.3 × 0.8 mm.</t>
  </si>
  <si>
    <t>https://ieeexplore.ieee.org/document/10130008</t>
  </si>
  <si>
    <t>https://ieeexplore.ieee.org/document/10136189</t>
  </si>
  <si>
    <t>A 0.5-V 0.88-mW Low Noise Amplifier With Active and Passive Gm Enhancements in Sub-6 GHz Band</t>
  </si>
  <si>
    <t>Guangyin Feng, Lifu Zheng, Yanjie Wang, Quan Xue</t>
  </si>
  <si>
    <t>This letter presents a sub-1 V low-noise amplifier (LNA) with active and passive Gm enhancements for low-power applications in the sub-6 GHz band. By using an enhanced folded cascode structure with Gm -boosting techniques at the common-gate (CG) stage, the proposed LNA achieves high gain and low noise with low power consumption. Implemented in GlobalFoundries 0.18 μ m CMOS process, the proposed LNA with a core area of 0.42 mm 2 presents a power gain of 14.5 dB at 5.8 GHz and a minimum noise figure of 3.2 dB. The LNA consumes a total dc power of 0.88 mW from a supply voltage of 0.5 V.</t>
  </si>
  <si>
    <t>Ultralow-Power W -Band Low-Noise Amplifier Design in 130-nm SiGe BiCMOS</t>
  </si>
  <si>
    <t>Kateryna Smirnova, Christian Bohn, Mehmet Kaynak, Ahmet Cagri Ulusoy</t>
  </si>
  <si>
    <t>This letter presents a power consumption reduction aspect for a 100-GHz low-noise amplifier (LNA). Two designs implemented in 0.13- μ m SiGe bipolar complementary metal oxide semiconductor (BiCMOS) technology demonstrate state-of-the-art performance, whereas PDC is reduced from 23.5 mW for the standard version to 3.8 mW for the low-power version. Two circuits exhibit a measured gain of 22 and 16 dB and a noise figure (NF) of 4 and 6.3 dB at 100 GHz. An input 1-dB compression point for the standard and the low-power version is − 24.5 and − 26.5 dBm, respectively. The occupied integrated circuit (IC) area in both cases is 0.018 and 0.014 mm 2 excluding the pads, which proves to be the most compact design among previously reported in the frequency range of interest.</t>
  </si>
  <si>
    <t>https://ieeexplore.ieee.org/document/10144625</t>
  </si>
  <si>
    <t>A 27.5–46.2-GHz Broadband Low Noise Amplifier With IP3 Enhancement</t>
  </si>
  <si>
    <t>Yaolong Hu, Taiyun Chi</t>
  </si>
  <si>
    <t>This letter presents a 27.5–46.2-GHz broadband low-noise amplifier (LNA) featuring IP3 enhancement. The LNA bandwidth (BW) is extended by implementing dual-resonant input matching and a broadband output network. The LNA IP3 is enhanced by incorporating parallel PMOS and NMOS paths in the second stage, with their output currents combined through a three-winding transformer. Implemented using the GlobalFoundries 45-nm CMOS silicon-on-insulator (SOI) process, the LNA demonstrates 27.5–46.2 GHz effective BW, 2.1 dB minimum noise figure (NF), and 19.8 dB peak gain. The measured IIP3 is − 3.6 dBm at 34 GHz under 25.5 mW DC power consumption. Compared to recently reported broadband LNAs with a similar frequency range, this design achieves the state-of-the-art NF, IIP3, and figure-of-merit (FoM).</t>
  </si>
  <si>
    <t>https://ieeexplore.ieee.org/document/10155316</t>
  </si>
  <si>
    <t>Ka -/ K -Band Frequency-Reconfigurable Single-Input Differential-Output Low-Noise Amplifier for 5G Applications</t>
  </si>
  <si>
    <t>Hao-Hsuan Chen, Zuo-Min Tsai</t>
  </si>
  <si>
    <t>This letter describes the design, analysis, and performance measurements of a Ka -and K -band frequency-reconfigurable single-input differential-output (SIDO) low-noise amplifier (LNA) with a compact core size of 0.157 mm 2 . At 28 and 39 GHz, respectively, the noise figures of the LNA were 2.8 and 4.4 dB; it had high differential gains of 20.1 and 14.9 dB. The proposed LNA was fabricated using the 65-nm CMOS process. The LNA includes a two-stage common-source (CS) buffer amplifier to achieve low noise and an active balun for converting single-ended signals into differential signals. Moreover, a substrate-shield-based inductor and tunable matching networks were used to achieve the frequency reconfiguration function of the LNA. The gain and phase imbalances were 0.3 and 0.2 dB, and 5.4 ∘ and 6 ∘ at 28 and 39 GHz, respectively. Compared with published multiband SIDO LNAs, the proposed amplifier achieved higher figures of merit (FoMs) of 3.52 and 1.77 while maintaining a compact core size. Therefore, the LNA is suitable for K -and Ka -band 5G communication applications.</t>
  </si>
  <si>
    <t>https://ieeexplore.ieee.org/document/10171399</t>
  </si>
  <si>
    <t>Monolithically Integrated C -Band Low-Noise Amplifiers for Use in Cryogenic Large-Scale RF Systems</t>
  </si>
  <si>
    <t>Felix Heinz; Fabian Thome; Arnulf Leuther</t>
  </si>
  <si>
    <r>
      <t xml:space="preserve">This article reports on the design of </t>
    </r>
    <r>
      <rPr>
        <i/>
        <sz val="13.2"/>
        <color theme="1"/>
        <rFont val="MathJax_Math"/>
      </rPr>
      <t>C</t>
    </r>
    <r>
      <rPr>
        <sz val="11"/>
        <color theme="1"/>
        <rFont val="Calibri"/>
        <family val="2"/>
        <scheme val="minor"/>
      </rPr>
      <t xml:space="preserve"> -band (4–8 GHz) monolithically integrated low-noise amplifiers (LNAs) in a 50-nm metamorphic high-electron-mobility transistor (mHEMT) technology with low-dc-power consumption dedicated to cryogenic operation in large receiver arrays. Two LNA monolithic microwave-integrated circuits (MMICs) are investigated: one two-stage design (LNA 1) targeting the </t>
    </r>
    <r>
      <rPr>
        <i/>
        <sz val="13.2"/>
        <color theme="1"/>
        <rFont val="MathJax_Math"/>
      </rPr>
      <t>C</t>
    </r>
    <r>
      <rPr>
        <sz val="11"/>
        <color theme="1"/>
        <rFont val="Calibri"/>
        <family val="2"/>
        <scheme val="minor"/>
      </rPr>
      <t xml:space="preserve"> -band, which has been designed as a stand-alone and as a four-channel MMIC to demonstrate the ability to achieve higher integration levels. The second amplifier (LNA 2) is a three-stage design focusing on 6–9 GHz, but it can also be used from 4–9 GHz with only minor performance degradation. LNA 1 achieves an average in-band noise temperature of 2.7 K with 31 dB of gain when operated at 10 K with optimal noise bias (7.78-mW dc-power consumption). The power consumption of LNA 1 can be reduced to 0.77 mW with an average noise of 3.8 K and 23.7 dB of gain. LNA 2 provides 44.5 dB of small-signal gain and 3.3-K average noise temperature between 4 and 9 GHz (2.9 K between 6 and 9 GHz) at 10 K and optimal noise bias (5.57 mW). When the dc-power consumption of LNA 2 is reduced to 1.34 mW, 35.4 dB of small-signal gain and 4.4 K of average noise temperature are preserved. To the best of the authors’ knowledge, LNA 1 demonstrates both the lowest noise temperature and dc-power consumption among monolithically integrated </t>
    </r>
    <r>
      <rPr>
        <i/>
        <sz val="13.2"/>
        <color theme="1"/>
        <rFont val="MathJax_Math"/>
      </rPr>
      <t>C</t>
    </r>
    <r>
      <rPr>
        <sz val="11"/>
        <color theme="1"/>
        <rFont val="Calibri"/>
        <family val="2"/>
        <scheme val="minor"/>
      </rPr>
      <t xml:space="preserve"> -band LNAs at cryogenic temperatures.</t>
    </r>
  </si>
  <si>
    <t>https://ieeexplore.ieee.org/stamp/stamp.jsp?tp=&amp;arnumber=10363625</t>
  </si>
  <si>
    <t>Ultracompact Inductorless Noise-Canceling LNAs in 40-nm CMOS Achieving 2.2-K Noise Temperature for Qubit Readout</t>
  </si>
  <si>
    <t>Mahesh Kumar Chaubey; Yeke Liu; Yin-Cheng Chang; Po-Chang Wu; Hann-Huei Tsai; Shawn S. H. Hsu</t>
  </si>
  <si>
    <t>This article presents two ultracompact inductorless low-noise amplifiers (LNAs) in 40-nm CMOS for cryogenic qubit readout. Both LNAs utilize an inverter-based input stage as the main amplifier, and LNA-I and LNA-II employ a complementary and common-source (CS) stage, respectively, as the auxiliary amplifier for achieving noise canceling (NC). LNA-I also incorporates self-forward body bias (SFBB) to counter V th reduction and improve r out during cryogenic operation, while LNA-II uses source-follower feedback(SFFB) to enhance gain and noise figures (NFs) without compromising input impedance matching. At room temperature (RT), LNA-I achieves a measured gain ( S 21 ) of 25.6 dB and a minimum NF of 0.63 dB at 2 GHz. At 4 K, it demonstrates a measured gain of 29 dB and a minimum NF of 0.033 dB (corresponding to a noise temperature T N of 2.2 K), along with a 3-dB bandwidth f 3 dB from 10 MHz to 3 GHz, while consuming 19.4 mW. LNA-II achieves a measured gain of 27 dB and a minimum NF of 1.16 dB at 0.5 GHz at RT. At 4 K, it demonstrates a measured gain of 30.2 dB and a minimum NF of 0.29 dB ( T N of 20 K), accompanied by a f 3 dB from 20 MHz to 4 GHz and with a total power consumption of 10.8 mW. The circuit only occupies an active area of 0.018 and 0.0072 mm 2 for LNA-I and LNA-II, respectively.</t>
  </si>
  <si>
    <t>https://ieeexplore.ieee.org/document/10418549</t>
  </si>
  <si>
    <t>A 0.32 × 0.12 mm 2 Cryogenic BiCMOS 0.1–8.8 GHz Low Noise Amplifier Achieving 4 K Noise Temperature for SNWD Readout</t>
  </si>
  <si>
    <t>Yatao Peng; Jad Benserhir; Mario Castaneda; Andreas Fognini; Claudio Bruschini; Edoardo Charbon</t>
  </si>
  <si>
    <t>A significant number of cryogenic low-noise amplifiers (cryo-LNAs) are required for the readout of superconducting nanowire detector (SNWD) arrays. It is desirable to have compact cryo-LNAs in place so that the size of the readout circuitry for the SNWD array can be reduced. In this study, we first examined the bandwidth, linearity, and noise requirements of the cryo-LNA for SNWD readout. After that, the design and implementation of a wideband silicon–germanium (SiGe) BiCMOS cryo-LNA were described in detail. The LNA features two cascode stages with resistive shunt–shunt feedback for wideband input impedance matching. The capacitive peaking techniques and emitter inductive degeneration via a slab inductor were utilized to increase the bandwidth without compromising the layout’s compactness. To ensure the amplifier works well at cryogenic temperatures, we modified the model parameters from the foundry-provided models based on the device’s reported cryogenic test data. The measurement results at 3.6 K demonstrate that the cryo-LNA, occupying a core size of only 0.03 mm 2 , achieves a noise-equivalent temperature (NET) of 4–10 K and an average gain of 30.5 dB in the frequency band from 0.1 to 8.8 GHz, under a power consumption of 8.2 mW. We successfully integrated this LNA with a quantum sensor array on a printed circuit board (PCB) and obtained favorable test results, demonstrating the potential application of LNAs for reading large-scale SNWDs.</t>
  </si>
  <si>
    <t>https://ieeexplore.ieee.org/document/10423276</t>
  </si>
  <si>
    <t>8/2023</t>
  </si>
  <si>
    <t>Design and Characterization of a Variable Gain D-Band LNA for Optimized Link Budgeting for a 6G Receiver in 22FDX</t>
  </si>
  <si>
    <t>Patrick James Artz; Quang Huy Le; Dang Khoa Huynh; Philipp Scholz; Thomas Kämpfe; Steffen Lehmann; Thomas Mausolf;Friedel Gerfers</t>
  </si>
  <si>
    <t>This article describes the design and characterization of a fully differential D -band low noise amplifier (LNA) with a measured gain of 9.0–18.0 dB at 153.5 GHz over a 3-dB bandwidth of 10.8 GHz. A minimum noise figure (NF) of 7.9 dB is achieved, measured with the cold-noise source method using a source tuner for noise parameter extraction to enable high accurate NF measurements. The extracted noise parameters allow the source impedance sensitivity to be calculated, with an NF degradation of less than 1.2 dB demonstrated for a source reflection |Γs|≤0.3 . Using the back gate control of the 22-nm fully depleted silicon on insulator (FDSOI) technology enables a passive gain control range of 9 dB, reducing the NF and compression point degradation while scaling the power consumption, thanks to optimal transistor biasing. The measured LNA parameters such as gain, NF, compression, and bandwidth are applied in a link budget analyzer to verify sufficient signal-to-noise and distortion ratio (SNDR) for a 100-GBit/s receiver.</t>
  </si>
  <si>
    <t>https://ieeexplore.ieee.org/document/10216920</t>
  </si>
  <si>
    <t>1/2024</t>
  </si>
  <si>
    <t>A 22–33-GHz Gm -Boosting Low-Power Noise-Canceling LNA in 40-nm CMOS Process</t>
  </si>
  <si>
    <t>Santosh Kumar Khyalia; Rajesh H. Zele; Chau-Ching Chiong; Huei Wang</t>
  </si>
  <si>
    <r>
      <t xml:space="preserve">A new transformer-based noise-canceling low-noise amplifier (NC-LNA) is proposed for millimeter-wave (mmWave) </t>
    </r>
    <r>
      <rPr>
        <i/>
        <sz val="13.2"/>
        <color theme="1"/>
        <rFont val="MathJax_Math"/>
      </rPr>
      <t>K</t>
    </r>
    <r>
      <rPr>
        <sz val="11"/>
        <color theme="1"/>
        <rFont val="Calibri"/>
        <family val="2"/>
        <scheme val="minor"/>
      </rPr>
      <t xml:space="preserve"> / </t>
    </r>
    <r>
      <rPr>
        <i/>
        <sz val="13.2"/>
        <color theme="1"/>
        <rFont val="MathJax_Math"/>
      </rPr>
      <t>Ka</t>
    </r>
    <r>
      <rPr>
        <sz val="11"/>
        <color theme="1"/>
        <rFont val="Calibri"/>
        <family val="2"/>
        <scheme val="minor"/>
      </rPr>
      <t xml:space="preserve"> -band applications. The NC-LNA consists of a transformer-based </t>
    </r>
    <r>
      <rPr>
        <i/>
        <sz val="13.2"/>
        <color theme="1"/>
        <rFont val="MathJax_Math"/>
      </rPr>
      <t>g</t>
    </r>
    <r>
      <rPr>
        <i/>
        <sz val="7.75"/>
        <color theme="1"/>
        <rFont val="MathJax_Math"/>
      </rPr>
      <t>m</t>
    </r>
    <r>
      <rPr>
        <sz val="11"/>
        <color theme="1"/>
        <rFont val="Calibri"/>
        <family val="2"/>
        <scheme val="minor"/>
      </rPr>
      <t xml:space="preserve"> boosted common gate (CG) amplifier in the main path and a common source (CS) amplifier for an auxiliary path. The transformer is used at the input side to achieve the gain-boosting to the CG amplifier, wideband input matching. It also provides an out-of-phase RF signal to the CG amplifier and an in-phase signal to the CS amplifier. The gain control in the main and auxiliary paths and staggered tuning are implemented to achieve a low-noise figure (NF) and flat gain. The low-noise amplifier (LNA) is designed and fabricated in a 40-nm CMOS process with an active area of 375 </t>
    </r>
    <r>
      <rPr>
        <sz val="13.2"/>
        <color theme="1"/>
        <rFont val="MathJax_Main"/>
      </rPr>
      <t>×</t>
    </r>
    <r>
      <rPr>
        <sz val="11"/>
        <color theme="1"/>
        <rFont val="Calibri"/>
        <family val="2"/>
        <scheme val="minor"/>
      </rPr>
      <t xml:space="preserve"> </t>
    </r>
    <r>
      <rPr>
        <sz val="13.2"/>
        <color theme="1"/>
        <rFont val="MathJax_Main"/>
      </rPr>
      <t>685 </t>
    </r>
    <r>
      <rPr>
        <i/>
        <sz val="13.2"/>
        <color theme="1"/>
        <rFont val="MathJax_Math"/>
      </rPr>
      <t>μ</t>
    </r>
    <r>
      <rPr>
        <sz val="13.2"/>
        <color theme="1"/>
        <rFont val="MathJax_Main"/>
      </rPr>
      <t>m</t>
    </r>
    <r>
      <rPr>
        <sz val="7.75"/>
        <color theme="1"/>
        <rFont val="MathJax_Main"/>
      </rPr>
      <t>2</t>
    </r>
    <r>
      <rPr>
        <sz val="11"/>
        <color theme="1"/>
        <rFont val="Calibri"/>
        <family val="2"/>
        <scheme val="minor"/>
      </rPr>
      <t xml:space="preserve"> . The measured result shows that the LNA achieves a peak gain of 12.3 dB in a 3-dB bandwidth frequency of 21.9–33.7 GHz, the lowest NF of 2.8 dB while consuming 8.5 mW from 0.6 V supply. The third-order intercept point IIP3 and input referred 1-dB compression point IP1 dB are 2 and </t>
    </r>
    <r>
      <rPr>
        <sz val="13.2"/>
        <color theme="1"/>
        <rFont val="MathJax_Main"/>
      </rPr>
      <t>−</t>
    </r>
    <r>
      <rPr>
        <sz val="11"/>
        <color theme="1"/>
        <rFont val="Calibri"/>
        <family val="2"/>
        <scheme val="minor"/>
      </rPr>
      <t xml:space="preserve"> 7.7 dBm, respectively.</t>
    </r>
  </si>
  <si>
    <t>https://ieeexplore.ieee.org/document/10406208</t>
  </si>
  <si>
    <t>Sub-mW Cryogenic InP HEMT LNA for Qubit Readou</t>
  </si>
  <si>
    <t>Yin Zeng; Jörgen Stenarson; Peter Sobis; Niklas Wadefalk; Jan Grahn</t>
  </si>
  <si>
    <r>
      <t xml:space="preserve">The cryogenic indium phosphide (InP) high-electron-mobility transistor (HEMT) low-noise amplifier (LNA) is used for the readout amplification of qubits at </t>
    </r>
    <r>
      <rPr>
        <sz val="13.2"/>
        <color theme="1"/>
        <rFont val="MathJax_Main"/>
      </rPr>
      <t>4</t>
    </r>
    <r>
      <rPr>
        <sz val="11"/>
        <color theme="1"/>
        <rFont val="Calibri"/>
        <family val="2"/>
        <scheme val="minor"/>
      </rPr>
      <t xml:space="preserve"> K where cooling capabilities are limited implying that the dc power of the active circuits is an essential design constraint. In this article, the RF and noise performance of the InP HEMT under ultralow-power (ULP) operation at </t>
    </r>
    <r>
      <rPr>
        <sz val="13.2"/>
        <color theme="1"/>
        <rFont val="MathJax_Main"/>
      </rPr>
      <t>4</t>
    </r>
    <r>
      <rPr>
        <sz val="11"/>
        <color theme="1"/>
        <rFont val="Calibri"/>
        <family val="2"/>
        <scheme val="minor"/>
      </rPr>
      <t xml:space="preserve"> K has been characterized. The small-signal and noise parameter model of the InP HEMT was extracted down to 1 </t>
    </r>
    <r>
      <rPr>
        <i/>
        <sz val="13.2"/>
        <color theme="1"/>
        <rFont val="MathJax_Math"/>
      </rPr>
      <t>μ</t>
    </r>
    <r>
      <rPr>
        <sz val="11"/>
        <color theme="1"/>
        <rFont val="Calibri"/>
        <family val="2"/>
        <scheme val="minor"/>
      </rPr>
      <t xml:space="preserve"> W. The tradeoff between noise performance and dc power consumption was analyzed in terms of the drain current and drain voltage. A 4–6 GHz hybrid cryogenic HEMT LNA designed for qubit readout and optimized for lowest noise below </t>
    </r>
    <r>
      <rPr>
        <sz val="13.2"/>
        <color theme="1"/>
        <rFont val="MathJax_Main"/>
      </rPr>
      <t>1</t>
    </r>
    <r>
      <rPr>
        <sz val="11"/>
        <color theme="1"/>
        <rFont val="Calibri"/>
        <family val="2"/>
        <scheme val="minor"/>
      </rPr>
      <t xml:space="preserve"> mW dc power consumption was fabricated. The measured performance of the LNA at </t>
    </r>
    <r>
      <rPr>
        <sz val="13.2"/>
        <color theme="1"/>
        <rFont val="MathJax_Main"/>
      </rPr>
      <t>4</t>
    </r>
    <r>
      <rPr>
        <sz val="11"/>
        <color theme="1"/>
        <rFont val="Calibri"/>
        <family val="2"/>
        <scheme val="minor"/>
      </rPr>
      <t xml:space="preserve"> K attained 23.1 dB average gain and 2.0 K average noise temperature at 200 </t>
    </r>
    <r>
      <rPr>
        <i/>
        <sz val="13.2"/>
        <color theme="1"/>
        <rFont val="MathJax_Math"/>
      </rPr>
      <t>μ</t>
    </r>
    <r>
      <rPr>
        <sz val="11"/>
        <color theme="1"/>
        <rFont val="Calibri"/>
        <family val="2"/>
        <scheme val="minor"/>
      </rPr>
      <t xml:space="preserve"> W dc power.</t>
    </r>
  </si>
  <si>
    <t>https://ieeexplore.ieee.org/document/10252156</t>
  </si>
  <si>
    <t>A D -Band Wideband Low-Noise Amplifier Adopting Pseudo-Simultaneous Noise and Input Matched Dual-Peak Gmax -Core</t>
  </si>
  <si>
    <t>Hokeun Lee; Byeonghun Yun; Hyoryeong Jeon; Wooyong Keum; Sang-Gug Lee; Kyung-Sik Choi</t>
  </si>
  <si>
    <t>This article presents a high-gain and wideband D -band low-noise amplifier (LNA) adopting a proposed wideband pseudo-simultaneous noise-and input-matched (p-SNIM) dual-peak (DP) maximum achievable gain ( Gmax )-core. For a transmission line (TL)-based DP Gmax -core, the p-SNIM condition is satisfied by adjusting the stability factor ( Kf ) without requiring additional components. Comprehensive analysis of the DP Gmax -core is performed to investigate the unique behaviors of input admittance for simultaneous conjugate matching ( Y∗in ) and optimal admittance for minimum noise figure (NF) ( Ynopt ) as a function of Kf , which is fully exploited to implement the wideband p-SNIM DP Gmax -core. Moreover, we present the design procedure of a proposed dual-frequency inter-stage matching network that enables the wideband multistage LNA implementation. Implemented in a 40-nm CMOS technology, the D -band three-stage LNA achieves a peak power gain of 16.3 dB, a 3-dB bandwidth of 24 GHz, and a minimum NF of 4.9 dB while dissipating only 16.1 mW.</t>
  </si>
  <si>
    <t>https://ieeexplore.ieee.org/document/10286262</t>
  </si>
  <si>
    <t>Ultralow Noise Figure and Broadband CMOS LNA With Three-Winding Transformer and Large Transistor</t>
  </si>
  <si>
    <t>This article introduces a CMOS low noise amplifier (LNA) designed to operate within 32–46 GHz frequency range, aiming to achieve an ultralow noise figure (NF). Our primary goal is to get a broadband LNA with low NF, ensuring &gt; 10 dB return loss and consistent, flat gain. These objectives were realized through the application of a three-winding transformer and multi-array transistors (large transistor) strategy. The proposed LNA circuit is manufactured using a 65-nm bulk CMOS process and its feasibility is confirmed through precise measurements. The NF of the fabricated LNA achieves 2.2–3.2 dB within 32–46 GHz. To the best of our knowledge, the LNA achieves the lowest NF at the Q -band. The gain is 19.2–21.5 dB within 32–46 GHz. The third-order input intercept (IIP 3 ) point is − 7.6 dBm at 38 GHz. The proposed LNA consumes 22 mW at 1 V supply voltage and has a compact core size of 0.16 mm 2 .</t>
  </si>
  <si>
    <t>Joon-Hyung Kim; Jeong-Taek Son; Jeong-Taek Lim; Han-Woong Choi; Choul-Young Kim</t>
  </si>
  <si>
    <t>https://ieeexplore.ieee.org/document/10416887</t>
  </si>
  <si>
    <t>A 0.1–20.1-GHz Wideband Noise-Canceling gm -Boosted CMOS LNA With Gain-Reuse</t>
  </si>
  <si>
    <t>Mohammad Amin Karami; Martin Lee; Rashid Mirzavand; Kambiz Moez</t>
  </si>
  <si>
    <t>This article presents a novel wideband low-noise amplifier (LNA) topology that incorporates noise cancellation in a gm -boosted common gate (CG) LNA by reusing the inverting amplifier used for gm -boosting as a parallel gain stage A gm -boosted CG stage provides the wideband input matching while the current reuse (CR) inverting amplifier is simultaneously used for boosting gm , improving gain, and canceling noise. Shunt and series inductive peaking techniques are implemented to extend the bandwidth of the LNA. The LNA is fabricated in Taiwan Semiconductor Manufacturing Company (TSMC) 65-nm CMOS process and occupies a die area of 0.263 mm 2 . The measurement results indicate the combination of these techniques produces an LNA with a 20-GHz bandwidth, an average gain of 12 dB, an average noise figure (NF) of 3.87 dB, and a 2.53-dBm peak input-referred third-order intercept point (IIP3) while consuming 13.2 mW at 1.2 V, resulting in the highest figure of merit (FoM) among the reported state-of-the-art LNAs.</t>
  </si>
  <si>
    <t>Wideband LNA Employing Intrinsic Feedback and Back-Gate Resistance for Noise and Input Power Matching</t>
  </si>
  <si>
    <t>This article investigates two low-noise-amplifier (LNA) topologies that provide wide input-power-matched bandwidths and low noise figures. These topologies offer the distinct advantage of eliminating the need for elaborate matching networks at the LNA input. Instead, they utilize intrinsic feedback via gate–drain networks and/or the resistance of the SOI-transistor back-gate terminal to realize the real part of the input impedance. These topologies are experimentally demonstrated with two 22-nm FDSOI LNAs. An LNA matched with the assistance of the gate–drain network exhibits bandwidth from 7.7 to 33.3 GHz, which is further improved to 6–38.7 GHz through the application of the back-gate-resistance method. The two LNAs exhibit noise-figure minima of 1.8 and 1.9 dB, maximum gains of 14.7 and 15.6 dB , and maximum IP1dBs of −9.1 and −7.8 dBm while consuming 10 and 7.8 mW of power (from 0.8-and 0.4-V supplies) and occupying 0.04 and 0.03 mm2 of active areas, respectively.</t>
  </si>
  <si>
    <t>https://ieeexplore.ieee.org/document/10287151</t>
  </si>
  <si>
    <t>https://ieeexplore.ieee.org/document/10309293</t>
  </si>
  <si>
    <t>09/2023</t>
  </si>
  <si>
    <t>03/2024</t>
  </si>
  <si>
    <t>A 52–73-GHz LNA With Tri-Coupled Transformer for Gm Boosting and Enhanced Noise Canceling</t>
  </si>
  <si>
    <t>This article presents a broadband low-noise amplifier (LNA) based on tri-coupled transformer (XFMR) for Gm boosting and enhanced noise canceling (NC). In contrast to conventional NC structures, the proposed design uses the combination of a single transistor and a tri-coupled XFMR innovatively to achieve noise reduction, Gm boosting, as well as wideband matching, simultaneously. Fabricated in a 40-nm CMOS process, the LNA achieves a 3-dB bandwidth of 22.1 GHz from 51.6 to 73.7 GHz, a peak gain of 22.4 dB, a minimum NF of 3.8 dB, and an average IP1dB of −12 dBm with a dc power consumption of 34 mW.</t>
  </si>
  <si>
    <t>Jiacong Ke; Zetian Lin; Guangyin Feng; Yanjie Wang</t>
  </si>
  <si>
    <t>https://ieeexplore.ieee.org/document/10398190</t>
  </si>
  <si>
    <t>19/02/2023</t>
  </si>
  <si>
    <t>11/06/2023</t>
  </si>
  <si>
    <t>A D-Band to J-Band Low-Noise Amplifier with High Gain-Bandwidth Product in an Advanced 130 nm SiGe BiCMOS Technology</t>
  </si>
  <si>
    <t>Marcel Andree; Janusz Grzyb; Bernd Heinemann; Ullrich Pfeiffer</t>
  </si>
  <si>
    <t>In this work, a broadband low noise amplifier fabricated in an advanced 130 nm SiGe BiCMOS technology with of 470/650 GHz is presented. The amplifier comprises 5 pseudo-differential cascode stages. Double-peak transformer-based matching stages in the first 3 stages are used to achieve high gain and low noise across a large bandwidth. A suitable set of baluns was developed to facilitate on-wafer measurements from 100 GHz to 325 GHz. The amplifier provides a peak small-signal gain of 34.6 dB at 160 GHz and 235 GHz. The 3 dB bandwidth is 131 GHz - 277 GHz. The measured noise figure is between 8.4 dB to 12 dB, including baluns. With the balun losses de-embedded, the amplifier's peak small-signal gain increases to 37 dB and stays above 30 dB from 117 GHz to 285 GHz, while the lowest noise figure is 7.1 dB at 155 GHz. The achieved stays in between 0 dBm - 1 dBm from 150 GHz to 265 GHz. The amplifier consumes 152 mW with a Vcc of 3 V.</t>
  </si>
  <si>
    <t>https://ieeexplore.ieee.org/document/10186116</t>
  </si>
  <si>
    <t>02/06/2019</t>
  </si>
  <si>
    <t>04/08/2020</t>
  </si>
  <si>
    <t>High-Performance Broadband CMOS Low-Noise Amplifier with a Three-Winding Transformer for Broadband Matching</t>
  </si>
  <si>
    <t>Joon-Hyung Kim; Jeong-Taek Son; Jung-Taek Lim; Jae-Eun Lee; Jae-Hyeok Song; Min-Seok Baek; Han-Woong Choi; Eun-Gyu Lee; Sunk-Ku Yeo, Choul-Young Kim</t>
  </si>
  <si>
    <t>This study presents a 32-to-46-GHz two-stage low noise amplifier (LNA) with a three-winding transformer-based input matching network. The proposed matching network provides a broadband noise and input matching for the entire operating range without performance degradation. To demonstrate the feasibility of the proposed circuit configuration, the LNA is implemented using a 65-nm bulk complementary metal-oxide-semiconductor (CMOS) process. The measured LNA achieved a gain of &gt; 19.2 dB at 32–46 GHz with a peak of 21.5 dB at 32 and 45 GHz, simultaneously. The minimum noise figure of the fabricated LNA was 2.2 dB at 36.5 GHz, and remains below 3.2 dB across 14 GHz. The input and output return losses were &lt; - 10dB from 32 to 45.5 GHz (effective bandwidth). The third-order input intercept (IIP 3 ) point was -7.6 dBm at 38 GHz at the lowest gain when dissipating 22 mA with a 1-V supply voltage.</t>
  </si>
  <si>
    <t>https://ieeexplore.ieee.org/document/10186167</t>
  </si>
  <si>
    <t>A 28-GHz 12-dBm IIP3 Low-Noise Amplifier Using Source-Sensed Derivative Superposition of Cascode for Full-Duplex Receivers</t>
  </si>
  <si>
    <t>Jonghoon Myeong; Byung-Wook Min</t>
  </si>
  <si>
    <t>This paper presents a highly linear CMOS low-noise amplifier (LNA) to handle self-interference in a full-duplex array. This LNA is designed using the derivative-superposition technique and source-sensed cascode topology. The third-order intermodulation (IM3) suppression is performed by applying different biases to each of the two cascode amplifiers. By using a thick-oxide transistor for the auxiliary amplifier, it operates reliably even at high VDD of cascode. The LNA achieves noise figure (NF) of 3.3-4.3 dB, 8.6-dB peak gain, -8-dBm input 1-dB gain compression point (IP1dB) and 12-dBm third-order input intercept point (IIP3) while consuming 14-mA current from 1.8-V supply voltage. The measured results show IM3 suppression of 8 dB depending on whether the auxiliary amplifier is turned on/off for linearization.</t>
  </si>
  <si>
    <t>A SiGe BiCMOS D-Band LNA with Gain Boosted by Local Feedback in Common-Emitter Transistors</t>
  </si>
  <si>
    <t>Guglielmo De Filippi; Lorenzo Piotto; Andrea Bilato; Andrea Mazzanti</t>
  </si>
  <si>
    <t>The performance of silicon amplifiers in D-band is limited by the low gain of transistors operated close to fmax . Cascode stages, yielding higher gain than a single device, are commonly preferred, but the issue is only partially alleviated. Recognizing that the common-emitter (CE) transistor limits the gain of the cascode, this work investigates the use of a local reactive feedback to trade gain for stability. Feedback shifts the CE into a conditionally-stable operating region, and enables a gain beyond its maximum available gain (MAG). Then, when the CE is combined with a common-base, by properly selecting impedance terminations, the resulting cascode displays unconditional stability with superior gain. The concept is exploited in the design of a D-band LNA in BiCMOS 55 nm technology which shows 22.8 dB gain, 130–165 GHz operating frequency and NF down to 5 dB with 40 mW power consumption. Measured results compare favorably against state of the art.</t>
  </si>
  <si>
    <t>https://ieeexplore.ieee.org/document/10186168</t>
  </si>
  <si>
    <t>A mm-Wave Wideband/Reconfigurable LNA Using a 3-Winding Transformer Load in 22-nm CMOS FDSOI</t>
  </si>
  <si>
    <t>Mohammad Ghaedi Bardeh; Jierui Fu; Navid Naseh; Jeyanandh Paramesh; Kamran Entesari</t>
  </si>
  <si>
    <t>A mm-Wave wideband/reconfigurable LNA using a 3-winding transformer load has been implemented in 22-nm CMOS FDSOI technology for 5G applications. The proposed LNA has three stages with the first two stages utilizing a novel 3-winding transformer as a load to provide three parallel paths, one main and two auxiliary paths. The load expands the frequency band of interest in the wideband mode when the main path is active and reconfigures the LNA bandwidth in the reconfigurable mode when either of the auxiliary paths are active. The third stage acts as a buffer. The LNA shows a measured S21 by the peak gain of 32 at 30 GHz and 3-dB bandwidth of 12.6 GHz for the wideband mode and peak gains of 32.4 dB and 33.4 dB at 22 and 29 GHz for 3-dB bandwidths of 5 and 5.3 GHz for two auxiliary paths in the reconfigurable mode, respectively. The measured NF is lower than 4.5 dB for the entire frequency band and measured OP1dB and OIP3 are better than -6 dBm and 2 dBm for the entire frequency band of interest, respectively. The total power consumption of the proposed LNA is 35 mW in each mode of working, and the chip area is 1155 μ m × 642 μ m excluding pads.</t>
  </si>
  <si>
    <t>https://ieeexplore.ieee.org/document/10186193</t>
  </si>
  <si>
    <t>https://ieeexplore.ieee.org/document/10186149</t>
  </si>
  <si>
    <t>https://ieeexplore.ieee.org/document/10188065</t>
  </si>
  <si>
    <t>A Cryogenic Four-Channel C-Band Low-Noise Amplifier MMIC in 50-nm Metamorphic High-Electron-Mobility-Transistor Technology</t>
  </si>
  <si>
    <t>28/07/2023</t>
  </si>
  <si>
    <t>This paper reports on a four-channel C-band (4–8GHz) low-noise amplifier (LNA) monolithic microwave integrated circuit (MMIC) designed for cryogenic ultra-low-noise operation. Both, a single and a four-channel version of the MMIC are presented proofing that a high level of integration can be achieved. This makes monolithic solutions well suited for large cryogenic systems, such as radio-astronomical phased arrays or future superconducting quantum computers. The presented two-stage design provides an in-band average effective input noise temperature (T e ) of 2.7K when cooled to 10K with an average small-signal gain of 31dB at optimal noise bias (7.78mW of dc-power). The power consumption can be reduced to 0.77mW with a small-signal gain of 23.7dB and an average T e of 3.77K</t>
  </si>
  <si>
    <t>A Miniature 10MHz-3GHz Sub 1-dB NF Cryogenic Inductorless Noise-Canceling Low-Noise Amplifier for Qubit Readout</t>
  </si>
  <si>
    <t>Mahesh Kumar Chaubey; Yeke Liu; Po-Chang Wu; Hann-Huei Tsai; Shawn S.H. Hsu</t>
  </si>
  <si>
    <t>This paper presents an inductorless wideband cryogenic low-noise amplifier (LNA) by the current reuse feed-forward noise canceling technique in 40-nm CMOS. The proposed LNA consists of a complementary input stage with self-forward body bias (SFBB) for low-power operation, which can also compensate for V th reduction and improve r out under cryogenic temperature. A noise-canceling stage is used to suppress the channel noise, achieving a sub-1dB noise figure at room temperature. The LNA attains a measured gain (S 21 ) of 25.6 dB with a minimum noise figure of 0.63 dB at 1.8 GHz. At 4K, it shows a measured gain of 29 dB with a 3-dB bandwidth across 10MHz‒3GHz under a power consumption of 19.4 mW. The circuit only occupies a core area of 0.018 mm 2 .</t>
  </si>
  <si>
    <t>https://ieeexplore.ieee.org/document/10187946</t>
  </si>
  <si>
    <t>A 115.7–139.7 GHz Amplifier with 19.7 dB Peak Gain and 7.9 dB NF in 40-nm CMOS</t>
  </si>
  <si>
    <t>Kyunghwan Kim; Jiwon Kang; Kangseop Lee; Seung-Uk Choi; Jiseul Kim; Ho-Jin Song</t>
  </si>
  <si>
    <t>A 115.7–139.7 GHz low noise amplifier (LNA) is presented. The neutralization capacitance is chosen to minimize the tradeoff between the achievable gain and noise figure. Based on the fourth-order matching network, interstage transformers are designed, and an interstage filtering transformer reduces the gain at low frequencies, resulting in a flat bandwidth overall. The five-stage LNA provides the peak gain, bandwidth, and noise figure of 19.7 dB, 24 GHz, and 7.9 dB, respectively. The presented LNA achieves the highest gain-bandwidth product of 231.9 GHz with a small DC power consumption of 17.8 mW compared to state-of-the-art CMOS LNAs in D-band.</t>
  </si>
  <si>
    <t>A 2.5-to-18GHz Reconfigurable LNA With 1.38-to-1.97dB NF Using Switchable Diplexer and Low-Noise Oriented Input</t>
  </si>
  <si>
    <t>Zhenyu Wang; Manjian Chen; Xinyu Li; Xiaochen Tang; Xiang Li; Yong Wang</t>
  </si>
  <si>
    <t>An ultra-broadband reconfigurable low-noise amplifier (LNA) is presented in this paper. A design strategy is proposed that consists of low-noise oriented input, switchable diplexer, gain smoothing output, and a high-isolation single-pole-double-through (SPDT) switch. The low-noise-oriented stages employ source degeneration inductors, shunt-resistive feedbacks, and middle inductors with special optimizations to attain low noise and sufficient gain, while the flatness is ignored. The diplexer is frequency reconfigurable to provide band overlap and alleviate gain smoothing requirements of followed stages. Gains are flattened by two separate amplifying stages. The SPDT switch combines the two paths and avoids possible oscillations. The prototype in GaAs pHEMT shows 2.5-to-18-GHz bandwidth (i.e. 2.5-to-8 GHz and 6-to-18 GHz), 1.38–1.53/1.64–1.97 noise figure, 21.5-dB average gain, and &lt;2.5-dB overall gain fluctuations.</t>
  </si>
  <si>
    <t>A 74.8-88.8 GHz Wideband CMOS LNA Achieving +4.73 dBm OP1dB and 6.39 dB Minimum NF</t>
  </si>
  <si>
    <t>Linfeng Zou; Kangjie Zhao; Zonghua Fang; Leilei Huang; Boxiao Liu; Chunqi Shi; Guangsheng Chen; Jinghong Chen; Runxi Zhang</t>
  </si>
  <si>
    <t>This paper presents a 74.8-88.8 GHz low-noise amplifier (LNA) in a 55-nm CMOS technology. The LNA employs one common-gate (CG) stage, one common-source (CS) stage, and two cascode stages. A hybrid broadband interstage network (HBIN) is developed to extend the amplifier bandwidth. An inductor-feedback common-gate-shorting (IFCGS) technique is proposed to improve the gain and output 1dB compression point (OP1dB). An out-of-phase-dual-coupling (OPDC) transformer structure is also developed to achieve g m -boost and reduce the noise of the CG stage. Benefiting from the proposed techniques, the LNA achieves a measured -3dB bandwidth of 14 GHz, a 17.1 dB peak gain, a minimum noise figure of 6.39 dB, and 4.73 dBm OP1dB at 80 GHz while consuming 72.4 mW of power.</t>
  </si>
  <si>
    <t>https://ieeexplore.ieee.org/document/10188098</t>
  </si>
  <si>
    <t>A 3.5~7.5 GHz GaAs HEMT Cryogenic Low-NoiseAmplifier Achieving 5 Kelvin Noise Temperature for Qubits Measurement</t>
  </si>
  <si>
    <t>Yatao Peng; Youpeng Zhong; Zechen Guo; Song Liu; Dapeng Yu</t>
  </si>
  <si>
    <t>The measurement of the fast-increasing number of qubits necessitates the use of a large number of specialized cryogenic low-noise amplifiers (LNAs).). This work presents a broadband LNA designed with discrete GaAs HEMT components which operate well at ~3.6 K temperature. The dual-frequency optimum noise matching network and output matching elements of the first stage were employed to optimize the equivalent noise temperature (NT) and the input return loss in a wideband. Measurement results at 3.6 K ambient temperature show that the LNA achieved an equivalent NT of &lt;12 K, and a gain of &gt;30 dB in the 3.5 GHz to 7.5 GHz band with a minimum of 5 Kelvin at ~6.5 GHz. The best visibility of ~0.891 is achieved when using the LNA to observe a superconducting transmon qubit without using a JPA.</t>
  </si>
  <si>
    <t>https://ieeexplore.ieee.org/document/10188012</t>
  </si>
  <si>
    <t>Millimeter-Wave LNA and PA MMICs With 10:1 and 4:1 Bandwidth in a 35-nm Gate-Length InGaAs mHEMT Technology</t>
  </si>
  <si>
    <t>Fabian Thome; Hermann Massler; Arnulf Leuther; Sébastien Chartier</t>
  </si>
  <si>
    <t>This paper presents two distributed amplifier monolithic microwave integrated circuits (MMICs) considerably exceeding an octave bandwidth at the upper millimeter-wave frequency range. The first MMIC is designed as a low-noise amplifier (LNA) with a dc-coupled transistor cell in a well-established small-signal-optimized traveling-wave-amplifier topology. The LNA achieves a decade bandwidth with an associated S21 of more than 19.8dB from 28 to 280GHz. The measured noise figure (NF) of the LNA is between 2.9–6.6dB (measured between 50–205GHz) with an average NF of 3.5dB between 75–150GHz. The second MMIC is optimized for highest output power (Pout) for a 4:1 bandwidth from 50 to 200GHz. The power amplifier (PA) is based on a gain cell with capacitive voltage division at the input of the cell. The measured Pout is better than 14.8dBm over the entire frequency range and achieves a maximum Pout of 19.5dBm at an operating frequency of 155GHz. To the best of the authors’ knowledge, both MMICs present state-of-the-art performance in their corresponding field of plus-octave bandwidth LNAs and PAs, respectively.</t>
  </si>
  <si>
    <t>https://ieeexplore.ieee.org/document/10188135</t>
  </si>
  <si>
    <t>A Low Power V-Band LNA with Wide Supply Voltage Range Exploiting Complementary Current Reuse and Power Efficient Bias Point</t>
  </si>
  <si>
    <t>Jesse Moody; Stefan Lepkowski; Travis M Forbes</t>
  </si>
  <si>
    <t>This work presents a very low-power RF LNA operating in the V-band, obtaining excellent RF performance compared to state-of-the-art accomplished through circuit design innovations in topology and circuit bias points. Inductive source degeneration and dual neutralization enable low noise and broadband impedance matching. The device utilizes complementary current reuse and low channel current density to maximize the power efficiency of all amplifier stages. Common mode feedback, combined with complementary current reuse, ensures a wide operating supply range, allowing the device to track its maximum linearity point for a given supply voltage. These techniques enable a wide VDD range of between 0.8V and 1.3V, enabling a tradeoff between power consumption and linearity. This device presents a peak gain of 23.4 dB, 13.6GHz BW, and 4.85dB NF with an IP1dB of -19.7 dBm, enabling an excellent LNA FOM compared to other low power amplifiers in the &gt; 50GHz regime.</t>
  </si>
  <si>
    <t>https://ieeexplore.ieee.org/document/10188094</t>
  </si>
  <si>
    <t>Ku/K-Band Low Power Dual-Channel LNAs With Less Than 1.4dB NF for SATCOM Phased Array Applications</t>
  </si>
  <si>
    <t>Mohammad Ghadiri-Sadrabadi; Himanshu Khatri; Chih-Hsiang Ko; Wei-Ting Wong; Umut Kodak; Tumay Kanar</t>
  </si>
  <si>
    <t>This paper presents the design and implementation of dual channel Ku and K band LNAs for SATCOM applications. The IC for each band consists of two identical LNAs with a shared reference current and separate supplu voltages as well as RF inputs and outputs. Chips are packaged using a flip-chip-chip-scale-package (FCCSP) technology and placed on PCBs for connectorized characterization. The Ku-Band LNA achieves a minimum noise figure (NF) of 1.3dB and a peak gain of 25dB with a power consumption of 11mW. The K-Band LNA achieves a minimum noise figure of 1.4dB and a peak gain of 22dB while consuming 15mW. To the best of authors’ knowledge, these results demonstrate the state-of-the-art performance in any silicon process.</t>
  </si>
  <si>
    <t>https://ieeexplore.ieee.org/document/10188031</t>
  </si>
  <si>
    <t>A G-Band SiGe BiCMOS LNA With an On-Chip and Compact Temperature Compensation Biasing Circuit</t>
  </si>
  <si>
    <t>Alvaro Urain; David Del Río; Rolando Torres; Roc Berenguer</t>
  </si>
  <si>
    <r>
      <t xml:space="preserve">A temperature compensated G-Band low-noise amplifier (LNA) is fabricated in IHP’s 0.13-µm SiGe BiCMOS technology. A biasing circuit is proposed, which compensates the complementary to absolute temperature (CTAT) dependence of the gain through a proportional to temperature (PTAT) collector current that is generated with an on-chip and compact (0.0035 mm </t>
    </r>
    <r>
      <rPr>
        <vertAlign val="superscript"/>
        <sz val="11"/>
        <color theme="1"/>
        <rFont val="Calibri"/>
        <family val="2"/>
        <scheme val="minor"/>
      </rPr>
      <t>2</t>
    </r>
    <r>
      <rPr>
        <sz val="11"/>
        <color theme="1"/>
        <rFont val="Calibri"/>
        <family val="2"/>
        <scheme val="minor"/>
      </rPr>
      <t xml:space="preserve"> ) biasing circuit. Temperature stability is addressed without a penalty in the LNA, which shows a comparable measured performance from -20 °C to 80 °C to the State Of the Art measurements that are only offered at room temperature. The LNA is centered at 195 GHz with a 3 dB bandwidth of 25 GHz. The maximum nominal gain is 18.1 dB at room temperature and only shows a gain variation of ±1.1 dB from -20 °C to 80 °C. The minimum NF is 9 dB and has ±1.5 dB of variation in the temperature range.</t>
    </r>
  </si>
  <si>
    <t>https://ieeexplore.ieee.org/document/10188074</t>
  </si>
  <si>
    <t>9/2023</t>
  </si>
  <si>
    <t>Room-Temperature Low-Noise Amplifier With 11-K Average Noise From 0.6 to 2 GHz</t>
  </si>
  <si>
    <t>Jun Shi; Sander Weinreb</t>
  </si>
  <si>
    <t>In this letter, a low-noise amplifier (LNA) with 11-K average noise in the frequency range from 0.6 to 2 GHz at +25∘C is designed, manufactured, and measured. The input matching network (IMN) of the amplifier is realized by a stepped high-impedance suspended substrate line structure that achieves input reflection coefficients lower than −10 dB over the whole frequency range. The LNA has an integrated temperature-stable noise calibration source for the system noise measurement. Furthermore, when the operating temperature drops to −40∘C , the average noise of the LNA will decrease to 7.5 K. The LNA achieves good noise without the need for high-cost cryogenics, which will greatly reduce the cost of high-performance receiving systems for wide-band applications at low microwave frequencies.</t>
  </si>
  <si>
    <t>https://ieeexplore.ieee.org/document/10263802</t>
  </si>
  <si>
    <t>10/2023</t>
  </si>
  <si>
    <t>High Gain and Low Power K-Band LNA With Reversed Current-Reuse Topology</t>
  </si>
  <si>
    <r>
      <t xml:space="preserve">This letter reports a </t>
    </r>
    <r>
      <rPr>
        <i/>
        <sz val="13.2"/>
        <color theme="1"/>
        <rFont val="MathJax_Math"/>
      </rPr>
      <t>K</t>
    </r>
    <r>
      <rPr>
        <sz val="11"/>
        <color theme="1"/>
        <rFont val="Calibri"/>
        <family val="2"/>
        <scheme val="minor"/>
      </rPr>
      <t xml:space="preserve"> -band low-noise amplifier (LNA) for millimeter-wave (mm-Wave) phased-arrays. A reversed three-stage current-reuse topology with </t>
    </r>
    <r>
      <rPr>
        <i/>
        <sz val="13.2"/>
        <color theme="1"/>
        <rFont val="MathJax_Math"/>
      </rPr>
      <t>g</t>
    </r>
    <r>
      <rPr>
        <i/>
        <sz val="7.75"/>
        <color theme="1"/>
        <rFont val="MathJax_Math"/>
      </rPr>
      <t>m</t>
    </r>
    <r>
      <rPr>
        <sz val="11"/>
        <color theme="1"/>
        <rFont val="Calibri"/>
        <family val="2"/>
        <scheme val="minor"/>
      </rPr>
      <t xml:space="preserve"> -boost technique is proposed, which breaks the dilemma of traditional common-gate (CG) LNA facing current limitation and achieves high gain with low power consumption. The proposed LNA is fabricated with a standard 55-nm CMOS process. Measurement results show that 21.8 dB peak gain is achieved within 2.1 GHz bandwidth, while the noise figure (NF) is 4.04 dB. Benefiting from the reversed current-reuse structure, the power consumption of the LNA is only 3.05 mW from a uniform 1.2 V power supply.</t>
    </r>
  </si>
  <si>
    <t>Chenglong Liang; Bingjun Tang; Ya Zhao; Yi Xie; Li Geng</t>
  </si>
  <si>
    <t>https://ieeexplore.ieee.org/document/10274893</t>
  </si>
  <si>
    <t>11/2023</t>
  </si>
  <si>
    <t>A Cryogenic 561 μW Ultralow-Power 56–62 GHz Low Noise Amplifier in 130-nm SiGe HBTs</t>
  </si>
  <si>
    <t>Boli Peng; Xiaodi Jin; Klaus Aufinger; Michael Schröter</t>
  </si>
  <si>
    <t>An ultralow-power millimeter-wave (mm-wave) cryogenic low noise amplifier (LNA) has been designed and fabricated in a 130 nm SiGe HBT technology. Measurements at 4.3 K show a peak gain of 18.3 dB at 58 GHz and a simulated average noise figure of 1.28 dB across the 56–62 GHz frequency band. The respective power consumption of just 561 μW is, to the best of the authors’ knowledge, the lowest one reported so far for a cryogenic mm-wave LNA. The circuit design has been enabled by a HICUM/L2 compact model with various physics-based extensions for capturing the low-temperature HBT behavior. The model shows good accuracy over a large bias and frequency range for temperatures down to 4.3 K.</t>
  </si>
  <si>
    <t>https://ieeexplore.ieee.org/document/10318190</t>
  </si>
  <si>
    <t>A 7–13 GHz Low Noise Amplifier MMIC With Ultralow Noise Figure</t>
  </si>
  <si>
    <t>Qiangji Wang; Yiqun Liu; Yingjiang Guo; Kai-Da Xu</t>
  </si>
  <si>
    <t>A wideband low noise amplifier (LNA) monolithic microwave integrated circuit (MMIC) is proposed with ultralow noise figure (NF) and high gain in the operating frequency range of 7–13 GHz. The finger width of the transistor, Vgs , minimum NF, and maximum available gain (MAG) are analyzed in detail to give guidance for the design of LNA. The current-reuse and feedback technique is employed to enhance in-band gain and improve the gain flatness. For demonstration, an LNA sample is fabricated in 0.15- μm GaAs process, whose measured results possess a gain of over 34.5 dB, NF of below 0.87 dB, and output 1-dB compression point (OP1dB) of over 12.7 dBm from 7 to 13 GHz. Especially, the gain and NF are much better than those of the reported works.</t>
  </si>
  <si>
    <t>https://ieeexplore.ieee.org/document/10336873</t>
  </si>
  <si>
    <t>A Low-Power High-IP 1dB Low-Noise Amplifier Using Large-Transistor and Class-AB Mode</t>
  </si>
  <si>
    <t>Min-Seok Baek; Han-Woong Choi; Joon-Hyung Kim; Jae-Hyeok Song; Jae-Eun Lee; Jeong-Taek Son; Choul-Young Kim</t>
  </si>
  <si>
    <r>
      <t xml:space="preserve">This letter presents a Ku -band high-input 1-dB compression point (IP </t>
    </r>
    <r>
      <rPr>
        <sz val="7.75"/>
        <color theme="1"/>
        <rFont val="MathJax_Main"/>
      </rPr>
      <t>1dB</t>
    </r>
    <r>
      <rPr>
        <sz val="11"/>
        <color theme="1"/>
        <rFont val="Calibri"/>
        <family val="2"/>
        <scheme val="minor"/>
      </rPr>
      <t xml:space="preserve"> ) and low-power low-noise amplifier (LNA). The large-transistor technique is employed to enhance IP </t>
    </r>
    <r>
      <rPr>
        <sz val="7.75"/>
        <color theme="1"/>
        <rFont val="MathJax_Main"/>
      </rPr>
      <t>1dB</t>
    </r>
    <r>
      <rPr>
        <sz val="11"/>
        <color theme="1"/>
        <rFont val="Calibri"/>
        <family val="2"/>
        <scheme val="minor"/>
      </rPr>
      <t xml:space="preserve"> with low noise figure (NF) for first stage. Differential Class-AB topology is adopted to improve the output 1-dB compression point (OP1dB) and lower power consumption for output stage. To validate the proposed approach, we implemented a two-stage common-source (CS) LNA using 65-nm bulk complementary metal–oxide–semiconductor (CMOS) technology. Experimental results achieved a minimum NF of 1.94 dB and peak gain of 19.98 dB. The measured IP </t>
    </r>
    <r>
      <rPr>
        <sz val="7.75"/>
        <color theme="1"/>
        <rFont val="MathJax_Main"/>
      </rPr>
      <t>1dB</t>
    </r>
    <r>
      <rPr>
        <sz val="11"/>
        <color theme="1"/>
        <rFont val="Calibri"/>
        <family val="2"/>
        <scheme val="minor"/>
      </rPr>
      <t xml:space="preserve"> is </t>
    </r>
    <r>
      <rPr>
        <sz val="13.2"/>
        <color theme="1"/>
        <rFont val="MathJax_Main"/>
      </rPr>
      <t>−</t>
    </r>
    <r>
      <rPr>
        <sz val="11"/>
        <color theme="1"/>
        <rFont val="Calibri"/>
        <family val="2"/>
        <scheme val="minor"/>
      </rPr>
      <t xml:space="preserve"> 7.8 dBm at 13 GHz, the highest among modern CMOS Ku -band LNAs. The LNA operates with a power consumption of 10 mA at a 1-V supply voltage and occupies a compact core size of 0.80 </t>
    </r>
    <r>
      <rPr>
        <sz val="13.2"/>
        <color theme="1"/>
        <rFont val="MathJax_Main"/>
      </rPr>
      <t>×</t>
    </r>
    <r>
      <rPr>
        <sz val="11"/>
        <color theme="1"/>
        <rFont val="Calibri"/>
        <family val="2"/>
        <scheme val="minor"/>
      </rPr>
      <t xml:space="preserve"> 0.26 mm </t>
    </r>
    <r>
      <rPr>
        <sz val="7.75"/>
        <color theme="1"/>
        <rFont val="MathJax_Main"/>
      </rPr>
      <t>2</t>
    </r>
    <r>
      <rPr>
        <sz val="11"/>
        <color theme="1"/>
        <rFont val="Calibri"/>
        <family val="2"/>
        <scheme val="minor"/>
      </rPr>
      <t xml:space="preserve"> .</t>
    </r>
  </si>
  <si>
    <t>https://ieeexplore.ieee.org/document/10387515</t>
  </si>
  <si>
    <t>12/2023</t>
  </si>
  <si>
    <t>A Current-Reused Ultralow-Power IoT LNA With a Robust Linearization Technique</t>
  </si>
  <si>
    <t>Jin Jin; Zhihao Wan; Hongqi Tao; Tongde Huang; Wen Wu</t>
  </si>
  <si>
    <t>This letter presents an ultralow-power (ULP) low-noise amplifier (LNA) with a robust linearization technique. A replica of the LNA's amplification transistor is integrated into the negative feedback path as an auxiliary to generate postdistortion (PD) current, where accurate process-voltage–temperature (PVT)-independent third-order distortion cancellation is achieved through constant-gain bias circuits. Furthermore, the noise figure of the proposed LNA is optimized by local-positive feedback (LPF) techniques. The increase in power due to feedback paths is minimized using a current-reused technique. Manufactured in the TSMC 65-nm process, the LNA core exhibits a gain of 18.3 dB at 2.4 GHz and power consumption of 500 μW at a voltage supply of 0.9 V. The proposed linearization technique improves the IIP3 by more than 5.8 dB over a wide temperature range ( −40∘C to 100 °C). At room temperature, the measured IIP3 is −0.6 dBm, and the noise figure is 3.5 dB at 2.4 GHz.</t>
  </si>
  <si>
    <t>https://ieeexplore.ieee.org/document/10289708</t>
  </si>
  <si>
    <t>A Ku-Band Fully Differential Current-Reuse Stacked Low-Noise Amplifier in 0.18- μ m SiGe BiCMOS Technology</t>
  </si>
  <si>
    <t>Bharatha Kumar Thangarasu; Kaixue Ma; Kiat Seng Yeo</t>
  </si>
  <si>
    <r>
      <t xml:space="preserve">This letter presents a Ku-band fully differential low-noise amplifier (LNA) using current reuse technique and weakly saturated input SiGe heterojunction bipolar transistors (HBTs) pair. The proposed LNA design achieves a measured peak gain of 18 dB, a 3-dB bandwidth from 11.5 to 17.4 GHz, a minimum noise figure (NF) of 3 dB, and an input 1-dB compression point of </t>
    </r>
    <r>
      <rPr>
        <sz val="13.2"/>
        <color theme="1"/>
        <rFont val="MathJax_Main"/>
      </rPr>
      <t>−</t>
    </r>
    <r>
      <rPr>
        <sz val="11"/>
        <color theme="1"/>
        <rFont val="Calibri"/>
        <family val="2"/>
        <scheme val="minor"/>
      </rPr>
      <t xml:space="preserve"> 15-dBm while consuming only 6.4 mA from a 1.8-V supply voltage. By achieving a lower power consumption, the proposed design has an improved figure-of-merit (FoM) than the state-of-the-art works. Furthermore, by incorporating a digitally variable gain control, the proposed design can improve the dynamic range by 14.4 dB. The proposed design is fabricated in a 0.18- </t>
    </r>
    <r>
      <rPr>
        <i/>
        <sz val="13.2"/>
        <color theme="1"/>
        <rFont val="MathJax_Math"/>
      </rPr>
      <t>μ</t>
    </r>
    <r>
      <rPr>
        <sz val="11"/>
        <color theme="1"/>
        <rFont val="Calibri"/>
        <family val="2"/>
        <scheme val="minor"/>
      </rPr>
      <t xml:space="preserve"> m SiGe BiCMOS technology and occupies a core die area of 0.22 mm </t>
    </r>
    <r>
      <rPr>
        <sz val="7.75"/>
        <color theme="1"/>
        <rFont val="MathJax_Main"/>
      </rPr>
      <t>2</t>
    </r>
    <r>
      <rPr>
        <sz val="11"/>
        <color theme="1"/>
        <rFont val="Calibri"/>
        <family val="2"/>
        <scheme val="minor"/>
      </rPr>
      <t xml:space="preserve"> (excluding measurement pads).</t>
    </r>
  </si>
  <si>
    <t>https://ieeexplore.ieee.org/document/10430191</t>
  </si>
  <si>
    <t>2/2024</t>
  </si>
  <si>
    <t>An Ultra-Low Noise LNA Based on SISL Platform for Ka-band Satellite Communication</t>
  </si>
  <si>
    <t>https://ieeexplore.ieee.org/document/10381637</t>
  </si>
  <si>
    <t>Xiaoyu Hong; Kaixue Ma; Yongqiang Wang</t>
  </si>
  <si>
    <r>
      <t xml:space="preserve">A low-noise amplifier (LNA) based on substrate integrated suspended line (SISL) platform for Ka-band satellite communication (SATCOM) is presented in this letter. The transition structure of the ridge waveguide-SISL is designed specifically to achieve ultra-low noise figure (NF) and good return loss simultaneously. According to the measured results, the proposed LNA has an ultra-low noise of 0.64–1 dB from 17.6 to 22 GHz. The maximum gain is 24.6 dB, with 3-dB bandwidth of 17.7–23.7 GHz. Taking the merits of the low loss, high-quality factor ( </t>
    </r>
    <r>
      <rPr>
        <i/>
        <sz val="13.2"/>
        <color theme="1"/>
        <rFont val="MathJax_Math"/>
      </rPr>
      <t>Q</t>
    </r>
    <r>
      <rPr>
        <sz val="11"/>
        <color theme="1"/>
        <rFont val="Calibri"/>
        <family val="2"/>
        <scheme val="minor"/>
      </rPr>
      <t xml:space="preserve"> ), and self-packaging of SISL technology, this LNA demonstrates the advantages of ultra-low noise, low cost, and compact size.</t>
    </r>
  </si>
  <si>
    <t>A Compact 6–24-GHz Current-Reuse LNA With Bandwidth and Noise Enhancement</t>
  </si>
  <si>
    <t>Xiaojie Zhang; Kuisong Wang; Yuepeng Yan; Xiaoxin Liang</t>
  </si>
  <si>
    <t>This letter presents a three-stage current-reuse (CR) low-noise amplifier (LNA) monolithic microwave-integrated circuit (MMIC) design for broadband applications. The proposed LNA employs virtual ground and resistive feedback to achieve bandwidth extension and low noise. With the proposed techniques, the LNA is fabricated using a 0.15- μm E-mode GaAs pseudomorphic high-electron-mobility transistor (pHEMT) process. The measurement results show a peak gain of 27.1 dB with a 3-dB bandwidth of 6–24 GHz and a dc power consumption of 130 mW. The noise figure (NF) of 0.71–1.9 dB, 9.2–12.6 dBm OP1dB, and 20–23.5 dBm OIP3 are achieved. The fabricated LNA, including the testing pads, has a chip size of 1.3×0.8 mm.</t>
  </si>
  <si>
    <t>https://ieeexplore.ieee.org/document/10365315</t>
  </si>
  <si>
    <t>A Low-Power Low-Noise W-band LNA in 90-nm CMOS Process With Source Degeneration Technique</t>
  </si>
  <si>
    <t>Pin-Hsuan Huang; Chia-Sung Chiu; Guo-Wei Huang; Kun-Ming Chen; Lin-Kun Wu
Institute of Communications Engineering, National Yang Ming Chiao Tung University, Hsinchu, Taiwan</t>
  </si>
  <si>
    <r>
      <t xml:space="preserve">This letter presents the design of a </t>
    </r>
    <r>
      <rPr>
        <i/>
        <sz val="13.2"/>
        <color theme="1"/>
        <rFont val="MathJax_Math"/>
      </rPr>
      <t>W</t>
    </r>
    <r>
      <rPr>
        <sz val="11"/>
        <color theme="1"/>
        <rFont val="Calibri"/>
        <family val="2"/>
        <scheme val="minor"/>
      </rPr>
      <t xml:space="preserve"> -band low-noise amplifier (LNA) using a four-stage common-source (CS) architecture fabricated in a 90-nm CMOS process. The LNA employs source degeneration with a transmission line to achieve a minimum noise figure (NF) of 5.0 dB and flat gain of 16.9 ± 1.5 dB from 76.5 to 87.5 GHz for a 3-dB bandwidth of 11 GHz. The circuit consumes only 14 mW of dc power when biased at a 1 V power supply.</t>
    </r>
  </si>
  <si>
    <t>https://ieeexplore.ieee.org/document/10325589</t>
  </si>
  <si>
    <t>Highly Linear Low-Noise Amplifier With Novel Two-Mode Feedback Control Method</t>
  </si>
  <si>
    <t>Erkut Gurol; Serafettin Serhan Ozboz; Tahsin Alper Ozkan; İlker Kalyoncu; Yasar Gurbuz</t>
  </si>
  <si>
    <r>
      <t xml:space="preserve">This article introduces a novel two-mode feedback-controlled postdistortion technique designed to enhance the third-order intercept point (IIP3) performance of the low-noise amplifier (LNA), with negligible impact on the noise figure (NF) and gain performance. The proposed method leverages the benefits of cascode and diode-connected postdistortion techniques. The LNA was developed using 130-nm CMOS silicon-on-insulator (SOI) technology. Measurements indicate an increase in the IIP3 value from </t>
    </r>
    <r>
      <rPr>
        <sz val="13.2"/>
        <color theme="1"/>
        <rFont val="MathJax_Main"/>
      </rPr>
      <t>−</t>
    </r>
    <r>
      <rPr>
        <sz val="11"/>
        <color theme="1"/>
        <rFont val="Calibri"/>
        <family val="2"/>
        <scheme val="minor"/>
      </rPr>
      <t xml:space="preserve"> 1.5 to </t>
    </r>
    <r>
      <rPr>
        <sz val="13.2"/>
        <color theme="1"/>
        <rFont val="MathJax_Main"/>
      </rPr>
      <t>+</t>
    </r>
    <r>
      <rPr>
        <sz val="11"/>
        <color theme="1"/>
        <rFont val="Calibri"/>
        <family val="2"/>
        <scheme val="minor"/>
      </rPr>
      <t xml:space="preserve"> 5 dBm at 25 GHz. The proposed design also provides the ability to control the highest IIP3 with switches across different frequency bands within the 18–28-GHz range. The measured minimum NF varies from 2.6 to 3.07 dB, and the peak gain of the LNA experienced a slight reduction from 13.7 to 13.2 dB when the linearization circuit toggled between the on and off modes.</t>
    </r>
  </si>
  <si>
    <t>https://ieeexplore.ieee.org/document/10398265</t>
  </si>
  <si>
    <t>A 10–18 GHz Current-Reused LNA MMIC With Feedback and Gain-Compensation Techniques</t>
  </si>
  <si>
    <t>Yiqun Liu; Qiangji Wang; Kai-Da Xu</t>
  </si>
  <si>
    <r>
      <t xml:space="preserve">This letter presents a broadband current-reused low-noise amplifier (LNA) monolithic microwave integrated circuit (MMIC) for wireless communication. Feedback and gain-compensation techniques are applied in the design of the proposed LNA MMIC to obtain the performance of high gain and low in-band gain ripple with ultralow noise figure (NF) in wide operational bandwidth. For verification, the proposed LNA is fabricated in 0.15- </t>
    </r>
    <r>
      <rPr>
        <i/>
        <sz val="13.2"/>
        <color theme="1"/>
        <rFont val="MathJax_Math"/>
      </rPr>
      <t>μ</t>
    </r>
    <r>
      <rPr>
        <sz val="13.2"/>
        <color theme="1"/>
        <rFont val="MathJax_Main"/>
      </rPr>
      <t>m</t>
    </r>
    <r>
      <rPr>
        <sz val="11"/>
        <color theme="1"/>
        <rFont val="Calibri"/>
        <family val="2"/>
        <scheme val="minor"/>
      </rPr>
      <t xml:space="preserve"> gallium arsenide (GaAs) technology with a size of 1.21 mm2, realizing the measured gain of over 27 dB, NF of less than 1.1 dB, output 1-dB compression point (OP </t>
    </r>
    <r>
      <rPr>
        <sz val="7.75"/>
        <color theme="1"/>
        <rFont val="MathJax_Main"/>
      </rPr>
      <t>1dB</t>
    </r>
    <r>
      <rPr>
        <sz val="11"/>
        <color theme="1"/>
        <rFont val="Calibri"/>
        <family val="2"/>
        <scheme val="minor"/>
      </rPr>
      <t xml:space="preserve"> ) of greater than 9.2 dBm at 18 GHz and in-band gain ripple of about ±0.17 dB from 10 to 18 GHz. The total power dissipation of the proposed LNA MMIC is less than 125 mW.</t>
    </r>
  </si>
  <si>
    <t>https://ieeexplore.ieee.org/document/10299556</t>
  </si>
  <si>
    <t>A 131–162-GHz Wideband CMOS LNA Using Asymmetric Frequency Responses of Triple-Coupled Transformers</t>
  </si>
  <si>
    <t>Ilgwon Kim; Hyunji Koo; Wansik Kim; Songcheol Hong</t>
  </si>
  <si>
    <r>
      <t xml:space="preserve">A D -band wideband low-noise amplifier (LNA) is presented, which consists of five-cascaded differential amplifiers fabricated in a 40-nm RF CMOS process. Each stage has a common gate (CG) configuration to have low noise at the high frequencies. Triple-coupled transformers are introduced in all stages to increase gains and to make interstage matchings, which have asymmetrical frequency responses. The input and output Q factors of the transformers are tailored to achieve staggered matchings for wideband characteristics. This allows it to have a flat gain of 19.5–20.5 dB and a noise figure of 6.2–9.0 dB at 136–159 GHz. It shows a peak gain of 20.9 dB at 153 GHz and a noise figure of 6.2 dB at 148 GHz. It has a minimum IP1dB is −19.7 dBm, and occupies 0.24 mm2 including I/O pads with the core size of 0.09 mm2. It consumes a total dc power of 49 mW from a 1-V supply.transformers are introduced in all stages to increase gains and to make interstage matchings, which have asymmetrical frequency responses. The input and output </t>
    </r>
    <r>
      <rPr>
        <i/>
        <sz val="13.2"/>
        <color theme="1"/>
        <rFont val="MathJax_Math"/>
      </rPr>
      <t>Q</t>
    </r>
    <r>
      <rPr>
        <sz val="11"/>
        <color theme="1"/>
        <rFont val="Calibri"/>
        <family val="2"/>
        <scheme val="minor"/>
      </rPr>
      <t xml:space="preserve"> factors of the transformers are tailored to achieve staggered matchings for wideband characteristics. This allows it to have a flat gain of 19.5–20.5 dB and a noise figure of 6.2–9.0 dB at 136–159 GHz. It shows a peak gain of 20.9 dB at 153 GHz and a noise figure of 6.2 dB at 148 GHz. It has a minimum </t>
    </r>
    <r>
      <rPr>
        <sz val="13.2"/>
        <color theme="1"/>
        <rFont val="MathJax_Main"/>
      </rPr>
      <t>IP</t>
    </r>
    <r>
      <rPr>
        <sz val="7.75"/>
        <color theme="1"/>
        <rFont val="MathJax_Main"/>
      </rPr>
      <t>1dB</t>
    </r>
    <r>
      <rPr>
        <sz val="11"/>
        <color theme="1"/>
        <rFont val="Calibri"/>
        <family val="2"/>
        <scheme val="minor"/>
      </rPr>
      <t xml:space="preserve"> is −19.7 dBm, and occupies 0.24 mm2 including I/O pads with the core size of 0.09 mm2. It consumes a total dc power of 49 mW from a 1-V supply.</t>
    </r>
  </si>
  <si>
    <t>https://ieeexplore.ieee.org/document/10259655</t>
  </si>
  <si>
    <t>3.8-mW 26–29-GHz CMOS LNA With 21.6-dB Gain and 2.49-dB NFavg Using Dual Self-Bias and Gain Boosting</t>
  </si>
  <si>
    <t>We demonstrate a low-power ( Pdc ) and high-gain low-noise amplifier (LNA) in 90-nm CMOS for 28-GHz 5G new radio. To simplify the bias arrangement and to boost the gain of the current-reused gain and output stages, we propose the dual self-bias topology. An inductive interconnection, equivalent to a parallel grounded inductance of LB in ac, is used for self-bias and gain boosting of the gain stage. A resistive feedback, equivalent to an open in ac, is used for self-bias of the output stage. This leads to single power supply of the gain and output stages. Body-floating technique is used for noise figure (NF) reduction in transistors M1 – M3 . The LNA consumes 3.8 mW and achieves prominent S21 of 21.6 dB, 3-dB bandwidth of 25.8–29.2 GHz, the lowest NF of 2.24 dB at 27 GHz, average NF (NFavg) of 2.49 dB for 23.5–29.5 GHz, figure-of-merit (FOM) of 2.41 GHz, and output third-order intercept point (OIP3) of 3.2 dBm. To the best of our knowledge, the Pdc and NF performances are one of the best results ever reported for millimeter-wave CMOS LNAs with gain higher than 15 dB and Pdc lower than 10 mW.</t>
  </si>
  <si>
    <t>https://ieeexplore.ieee.org/document/10327736</t>
  </si>
  <si>
    <t>A 2–20-GHz Ultrawideband High-Gain Low-Noise Amplifier With Enhanced Stability</t>
  </si>
  <si>
    <t>Lei Wang; Yu Jian Cheng</t>
  </si>
  <si>
    <t>This letter discusses a high-gain low-noise amplifier (LNA) operating in the 2–20-GHz range, employing the 90-nm GaAs E-mode pseudomorphic high-electron-mobility-transistor (pHEMT) process for enhanced stability. The proposed modified cascode topology integrates a low-pass matching network, featuring a series inductor and a parallel capacitor between the common-source (CS) and common-gate (CG) transistors of the cascode cell, enhancing stability with minimal noise and gain degradation. Measurements indicate that the proposed LNA achieves a gain of 25 dB, with the input–output return loss better than 10 dB and an NF below 1.5 dB. Further testing demonstrates that the proposed LNA does not exhibit any instabilities over the entire frequency band from dc to 40 GHz</t>
  </si>
  <si>
    <t>https://ieeexplore.ieee.org/document/10414016</t>
  </si>
  <si>
    <t>A 185-GHz Low-Noise Amplifier Using a 35-nm InP HEMT Process</t>
  </si>
  <si>
    <t>Jonathan Tao; Wonho Lee; Jeff Shih-Chieh Chien; James F. Buckwalter</t>
  </si>
  <si>
    <t>We present a four-stage, 185-GHz indium phosphide (InP) high electron mobility transistor (HEMT) low-noise amplifier (LNA) implemented with coplanar waveguide (CPW) inductive degeneration and designed with a procedure using noise measure. At 194 GHz, the LNA exhibits a peak 19.6 dB of gain with an input 1-dB compression point (P1dB) of − 23.7 dBm at 190 GHz. To our knowledge, this is the first P1dB measurement over frequency for this technology. Over a frequency range covering 175 to 200 GHz, the LNA exhibits noise figure (NF) ranging from 9.8 to 11.4 dB. The amplifier consumes 22 of power and 0.77 of area. Additionally, a novel figure of merit (FoM) based on noise measure is proposed to evaluate designs across technologies independent of the number of stages.</t>
  </si>
  <si>
    <t>https://ieeexplore.ieee.org/document/10410426</t>
  </si>
  <si>
    <t>Sub-6 GHz LNA Using Two-Stage SNIM With Series Interstage Inductor Based on 0.5-μm GaAs E-pHEMT Technology</t>
  </si>
  <si>
    <t>Jeong-Taek Son; Han-Woong Choi; Choul-Young Kim</t>
  </si>
  <si>
    <t>This study presents a high gain, ultralow noise, sub-6 GHz low noise amplifier (LNA) using 0.5- μm GaAs pseudomorphic high electron mobility transistor (pHEMT) process. It proposed a simultaneous input and noise matching (SNIM) technique using load impedance optimization as an interstage inductor of a two-stage amplifier. The proposed matching technique offers optimal noise performance without the input matching trade-off. The proposed LNA delivers the best noise performance compared to other sub-6 GHz LNAs using the 0.5- μm GaAs pHEMT process. The results show a peak gain of 27.6 dB, and noise figure (NF) of 0.66 dB in the 4.2–5.2 GHz range. The input P1 dB at 5 GHz is 23.5 dBm, and the LNA consumes 45.6 mW of power at a supply voltage of 1.2 V. The chip size is 0.87×1.78mm2 .</t>
  </si>
  <si>
    <t>https://ieeexplore.ieee.org/document/10214433</t>
  </si>
  <si>
    <t>Common-Gate LNA MMIC With Switching Feature Using GaN-HEMT for 5G RF Front-End</t>
  </si>
  <si>
    <t>Megha Krishnaji Rao; Ralf Doerner; Serguei A. Chevtchenko; Sanaul Haque; Matthias Rudolph</t>
  </si>
  <si>
    <t>This letter presents a novel three-stage gallium nitride (GaN)-HEMT low-noise amplifier (LNA) with an integrated switch. It is intended to replace the combination of the antenna switch and the LNA, which is common in GaN monolithic microwave integrated circuit (MMIC) transceiver realizations. The LNA employs at the input two common-gate (CG) stages that can be switched from low-noise amplification to high-isolation mode. In the low-noise amplification receiver (RX) mode, the LNA performs as a standard amplifier with a gain of 25.5 dB and a low-noise figure of 2.1 dB at 5 GHz. When switched into the OFF state, i.e., transmission mode, it provides an isolation of around 50 dB at 5 GHz, which is verified up to an input power of 30 dBm. The proposed integrated concept allows to omit the antenna switch, which enables a very compact and low-loss transceiver implementation.</t>
  </si>
  <si>
    <t>https://ieeexplore.ieee.org/document/10244187</t>
  </si>
  <si>
    <t>A 2.8–3.8-GHz Reconfigurable GaAs Low-Noise Amplifier With Improved Blocker Tolerance</t>
  </si>
  <si>
    <t>Jiashuai Wang; Jie Wen; Pei-Ling Chi; Tao Yang</t>
  </si>
  <si>
    <t>A reconfigurable low-noise amplifier (LNA) is proposed with integrated bandpass filter (BPF) responses covering 2.8–3.8 GHz in this letter. The proposed LNA consists of three cascaded transistor stages. By integrating the transformer-based second-order BPF into the interstage matching networks of the cascaded transistors, the blocker tolerance and linearity of the LNA can be significantly improved without sacrificing any additional chip area. To demonstrate the proposed technique, an LNA has been designed and fabricated in a 0.15- μ m GaAs process. The measured results show a maximum power gain of 35.5 dB and minimum noise figure (NF) of 1 dB with a stopband suppression of 43.5 dB. A blocker 1-dB compression point (B1dB) of − 9 dBm is obtained at 4.25 GHz with LNA center frequency at 2.8 GHz and has been improved by at least 17 dB as compared to the in-band input 1-dB compression point (IP1dB). Good agreement between simulation and measurement is obtained.</t>
  </si>
  <si>
    <t>https://ieeexplore.ieee.org/document/10438360</t>
  </si>
  <si>
    <t>A Ku-Band 3.3-V LNA With Multicoupled Q-Enhancement Transformer and Current-Reuse Techniques in 65-nm CMOS</t>
  </si>
  <si>
    <t>Ting Huang; Xiangyu Meng; Chuanjie Chen; Baoyong Chi</t>
  </si>
  <si>
    <t>This letter presents a Ku-band 3.3-V low-noise amplifier (LNA) with a multicoupled transformer using current-reuse techniques. The multicoupled transformer combines a shunt resonator and a series resonator forming multiple resonant frequencies. Furthermore, the topology enhances the equivalent Q factor of the inductors for input matching and reduces the noise factors. Wideband input matching and noise matching are realized simultaneously. Fabricated in a 65-nm CMOS process, the LNA achieves a 1.58–2.63-dB NF and a 29.6-dB power gain from 9.5 to 13.5 GHz with a 1.5-dB ripple. The LNA consumes 20 mW from a 3.3-V supply and occupies an area of 0.39 mm2.</t>
  </si>
  <si>
    <t>https://ieeexplore.ieee.org/document/10375139</t>
  </si>
  <si>
    <t>A 4-to-6-GHz Cryogenic CMOS LNA With 4.4-K Average Noise Temperature in 22-nm FDSOI</t>
  </si>
  <si>
    <t>Sayan Das; Sanjay Raman; Joseph C. Bardin</t>
  </si>
  <si>
    <t>https://ieeexplore.ieee.org/document/10423722</t>
  </si>
  <si>
    <t>5/2024</t>
  </si>
  <si>
    <t>3/2024</t>
  </si>
  <si>
    <t>4/2024</t>
  </si>
  <si>
    <t>9/2024</t>
  </si>
  <si>
    <t>A Low Noise Variable Gain Amplifier With Low Phase Error for X- and Ku-Band Phased Arrays</t>
  </si>
  <si>
    <t>Kutay Altintas; Tahsin Alper Ozkan; Abdurrahman Burak; Melik Yazici; Yasar Gurbuz</t>
  </si>
  <si>
    <t>In this article, we present a detailed analysis of current steering, wideband, low noise, variable gain amplifier (VGA) and a novel method to decrease its phase and amplitude errors. A low noise VGA (LNVGA) has been designed using this innovative method in IHP’s 0.13 μm SiGe BiCMOS technology. In this proposed method, a high impedance seen from the base of the current steering transistor replaces a low impedance to reduce the loading of the current steering device and phase variations, eventually. The operating frequency spans from 8 to 18 GHz. The measurements indicate that the maximum gain is 12.4 dB, and the minimum noise figure (NF) is 1.93 dB at the reference state. The minimum measured root-mean-square (rms) phase and amplitude errors are 0.8° and 0.04 dB, respectively, for a 0.5 dB step size and 16 dB attenuation range. The attenuation range can be increased by up to 30 dB, albeit at the cost of accruing additional phase and amplitude errors. The dc power consumption of the design is 24 mW, and the maximum input 1-dB compression point is 3.9 dBm. The overall dimensions of the chip is 0.58 mm2 including pads.</t>
  </si>
  <si>
    <t>https://ieeexplore.ieee.org/document/10449901</t>
  </si>
  <si>
    <t>6/2024</t>
  </si>
  <si>
    <t>11/2024</t>
  </si>
  <si>
    <t>Design and Analysis of 28 GHz CMOS LNA and VGA Using Gain-Linearity-Boosting and Body Floating Techniques</t>
  </si>
  <si>
    <t>We report the design and analysis of a 28 GHz CMOS low-noise amplifier (LNA) and variable-gain amplifier (VGA1) using coupled-transmission-line (CTL)-feedback technique, and another VGA (VGA2) without CTL-feedback for contrast. The CTL in conjunction with a coupling capacitance ( Cctl ) contributes an in-phase gain at the output of the input stage. Over 21.9–29.1 GHz, 0.6–2.4 dB boosting in S21 and 0.42–1.17 dB reduction in noise figure (NF) are achieved. The body-floating technique is used for NF reduction due to effective suppression of the substrate noise. An auxiliary-gain-linearity-enhancement (AGLE) stage is included in parallel with the output stage for gain and linearity boosting since it contributes an in-phase gain and exhibits better linearity [due to higher drain-source voltage ( VDS )]. For VGA1 and VGA2, an analog current-steering switch transistor M5 is in parallel with the output stage to tune its overdrive and VDS for fine tuning of S21 . Digital switch transistor M6 (in conjunction with the coupling capacitance C3 and resonant inductance Lres ) is in parallel with the gain stage to control its ac VDS for coarse tuning of S21 . VGA1 adopts DTMOS-with- RB switch for lower on-state ( Rch,on ) and higher off-state channel resistance ( Rch,off ). This leads to S21 tuning range boosting. The LNA consumes 9.5 mW and achieves S21 of 21.8 ± 1.5 dB for 21.9–29.1 GHz ( f3dB=7.2 GHz), minimum NF (NF min ) of 1.98 dB, and average NF (NF avg ) of 2.32 dB, and figure-of-merit (FOM 2 ) of 74.1 nm ⋅ GHz 2/3 /mW 1/3 . VGA1 consumes 13.2 mW and achieves S21 of 20.1 ± 1.5 dB for 20.5–27.6 GHz ( f3dB=7.1 GHz), S21 tuning rang...</t>
  </si>
  <si>
    <t>https://ieeexplore.ieee.org/document/10566047</t>
  </si>
  <si>
    <t>10/2024</t>
  </si>
  <si>
    <t>A &gt; 120-GHz Bandwidth, &gt;20-dBm Pout, &lt;6-dB Noise-Figure Distributed Amplifier MMIC in a GaN-on-SiC HEMT Technology</t>
  </si>
  <si>
    <t>Fabian Thome; Peter Brückner; Rüdiger Quay</t>
  </si>
  <si>
    <t>This article demonstrates a distributed amplifier (DA) monolithic microwave integrated circuit (MMIC) with a 3-dB S21 bandwidth (BW) of 2–129GHz fabricated in a gallium nitride (GaN) HEMT technology. Furthermore, the article investigates the prediction of the third-order intermodulation point (IP3) on device and DA level based on dc I–V measurements and compares two analytical approaches. The equations can be used as well as a design tool before the actual circuit design. The DA consists of eight cells based on common-source transistors with an average S21 of 6.7 dB. Within a frequency range from 2 to 110 GHz, the measured output-referred 1-dB compression point and saturated output power are between 17.9–20.2dBm and 20.6–22 dBm, respectively. This is the first demonstration of an amplifier MMIC with an output power of more than 20dBm over a 100-GHz BW. Up to 70 GHz, the measured output-referred IP3 is between 26.8 and 29.8 dBm. In addition to state-of-the-art large-signal performance, the DA exhibits also an excellent noise figure (NF) with values between 3.1 and 5.7 dB (2–110 GHz).</t>
  </si>
  <si>
    <t>https://ieeexplore.ieee.org/document/10507180</t>
  </si>
  <si>
    <t>Patrick James Artz; Quang Huy Le; Dang Khoa Huynh; Philipp Scholz; Thomas Kämpfe; Steffen Lehmann</t>
  </si>
  <si>
    <t>A 2–18-GHz Reconfigurable Low-Noise Amplifier With 2.45–3.4-dB NF in 65-nm CMOS</t>
  </si>
  <si>
    <t>Jianbin Liu; Shuangyang Wu; Kun Li; Pei-Ling Chi; Tao Yang</t>
  </si>
  <si>
    <t>An ultra-wideband (UWB) reconfigurable low-noise amplifier (LNA) is proposed using 65-nm CMOS technology in this article. It consists of a two-stage amplifier with a novel reconfigurable feedback network (RCFN) used at the first stage and a reconfigurable load network (RCLN) at the drain terminals of each stage. The RCFN is employed to significantly reduce the noise figure (NF) at high frequencies and enhance the overall noise performance of the wideband LNA, while the RCLN is utilized to improve the gain and ensure a well-maintained gain flatness. Meanwhile, the current-reuse technique is also introduced to achieve power reduction. With all these techniques, a reconfigurable LNA that can have UWB coverage is readily obtained with low NF, low power consumption, and excellent gain/noise flatness. To demonstrate the proposed techniques, an LNA prototype is designed, fabricated, and measured. The measurement results show that the operating frequency of LNA can cover from 2 to 18 GHz including a low band of 2–8 GHz and a high band of 8–18 GHz, while achieving a peak gain of 16.6 dB. The gain variation over the full bandwidth is within 2.2 dB while the measured NF ranges from 2.45 to 3.4 dB. Additionally, the measured input 1 dB compression point (IP 1 dB ) varies from − 16 to − 12.1 dBm. The proposed LNA operates at a power supply of 1.5 V with a power consumption of less than 12 mW. A good agreement between simulation and measurement is obtained.</t>
  </si>
  <si>
    <t>https://ieeexplore.ieee.org/document/10684426</t>
  </si>
  <si>
    <t>A 0.1-to-4.3-GHz Variable-Gain Balun LNA With Dual-Path Noise-Canceling Technique</t>
  </si>
  <si>
    <t>Rong Zhou; Jianhang Yang; Xiaoteng Zhao; Depeng Sun; Shubin Liu; Zhangming Zhu</t>
  </si>
  <si>
    <t>This article introduces a variable-gain low-noise amplifier (VG-LNA) designed for IoT applications. The VG-LNA utilizes a similar architecture to the gm-boost input topology to address input impedance matching degradation during gain adjustment. In addition, it incorporates a dual noise cancellation (NC) path to reduce thermal noise. Due to the differential output characteristics of this topology, this LNA can simultaneously realize the balun function. Fabricated using a 65-nm CMOS process and without on-chip inductors, the VG-LNA occupies only 0.002 mm 2 of the core area. The VG-LNA achieves a turntable voltage gain range of 4.1–20 dB, an IIP3 range of − 5.3–6.2 dBm, and a noise figure (NF) range of 1.8–6.8 dB over a 3-dB bandwidth across 0.1–4.3 GHz.</t>
  </si>
  <si>
    <t>Channel-Selection LNA Using High-Order N -Path Feedforward Blocker Cancellation Path With Complex Poles for Advanced 5G NR FDD RX</t>
  </si>
  <si>
    <t>Hyeonjun Kim; Sengjun Jo; Kuduck Kwon</t>
  </si>
  <si>
    <t>This article presents a channel-selection (CH-SEL) low-noise amplifier (LNA), employing a main common-source (CS) amplifier path and high-order N -path feedforward (FF) blocker cancellation path for advanced cellular applications. The proposed FF path comprises a mixer-first receiver (RX) using a baseband (BB) amplifier with combined negative and positive capacitive feedback, BB G m -stage, BB high-pass filter, and current-mode up-conversion mixer. This FF path provides input power matching and exhibits fourth-order N -path bandpass filtering with BB complex poles at the LNA input and additional notch filtering at the LNA output. It has a higher Q-factor than the second-order N -path filtering with a BB real pole, achieving a flat passband and improved selectivity with the same 3-dB bandwidth at both the input and output of the LNA. The proposed CH-SEL LNA enhanced the blocker tolerance and linearity of 5G new radio (NR) frequency division duplexing primary and diversity RXs. Fabricated in a 65-nm CMOS process, the CH-SEL LNA achieved a maximum voltage gain of 22.6 dB, minimum noise figure (NF) of 4.4 dB, maximum out-of-band (OB) input-referred third-order intercept point (IIP3) of 23.2 dBm, and notch rejection ratio of more than 23.8 dB. It also covers mid-band (MB) frequencies in a range of 1.35–2.7 GHz for 5G NR cellular applications, exhibits an average current of 21.2 mA from a supply voltage of 1 V, and has an active die area of 0.77 mm 2 .</t>
  </si>
  <si>
    <t>https://ieeexplore.ieee.org/document/10552099</t>
  </si>
  <si>
    <t>A 70–86-GHz Deep-Noise-Canceling LNA With Dual-Stage Noise Cancellation Using Asymmetric Compensation Transformer and 4-to-1 Hybrid-Phase Combiner</t>
  </si>
  <si>
    <t>Changxuan Han; Jie Zhou; Xun Luo</t>
  </si>
  <si>
    <t>In this article, a 70–86-GHz deep-noise-canceling low noise amplifier (LNA) is presented to reduce the noise contributions from the multi-stage amplifiers under low transistor gm at mm-wave. Such an LNA consists of dual-stage noise-canceling topology, i.e., an asymmetric common-gate (CG)-based noise-canceling stage and a resistive feedback noise-canceling stage. The asymmetric compensation transformer (ACT) is utilized in the CG-based noise-canceling stage to compensate the amplitude and phase imbalances, thereby enhancing the noise-canceling ratio. In addition, the second stage based on resistive feedback noise-canceling operation with a 4-to-1 hybrid-phase combiner (HPC) is introduced to reduce the transistor noise contribution, especially improving noise performance at mm-wave band. Based on the aforementioned mechanism, a deep-noise-canceling LNA is implemented and fabricated using a conventional 40-nm CMOS technology. The proposed LNA exhibits a 4.8–6.5-dB noise figure (NF) within the operation frequency range of 70–86-GHz. The peak gain is 16.5 dB, while the peak input 1-dB compression point (IP 1dB ) is − 8.5 dBm. The power consumption is 25 mW under a 1.1-V supply, which occupies a compact core area of 0.085 mm 2 .</t>
  </si>
  <si>
    <t>https://ieeexplore.ieee.org/document/10637256</t>
  </si>
  <si>
    <t>https://ieeexplore.ieee.org/document/10538228</t>
  </si>
  <si>
    <t>A 23-GHz TX/LNA Front-End Module for Inter-Satellite Links With 27.8% Peak Efficiency in the TX Path and 3.1-dB NF in the RX Path</t>
  </si>
  <si>
    <t>Kaijie Ding; Vojkan Vidojkovic; Dusan Milosevic; Khaled Khalaf; Rainier van Dommele; Mark Bentum</t>
  </si>
  <si>
    <t>This article presents a 23-GHz transmitter/low-noise amplifier (TX/LNA) front-end module (FEM) in 130-nm SiGe BiCMOS for inter-satellite links (ISLs) in the system of orbiting low-frequency antenna array (OLFAR). The FEM consists of an LNA, a power amplifier (PA), a variable-gain amplifier (VGA), a phase shifter (PS), and a TX/receiver switch (T/R SW). By applying the combination of different techniques: 1) multi-function block design strategy; 2) current reuse and gm boosting implemented by a triple-coil transformer in the LNA; 3) dual-LC-tank-based integrated T/R SW, a compact FEM is achieved, simultaneously with an advanced-state-of-the-art efficiency in the TX path and a competitive noise figure (NF) in the receiver (RX) path. In the TX path, it demonstrates a measured saturated output power ( Psat ) of 16.8 dBm, a peak TX efficiency of 27.8%, and a 34.1-dB gain. It supports 900-Mbps 64-QAM signals with 4.9% error vector magnitude (EVM) and −27.5-dBc adjacent channel power ratio (ACPR), at 9.0-dBm output power ( Pout ) with 8.8% TX efficiency. In the RX path, an NF of 3.1 dB and an input 1-dB compression point (IP 1 dB ) of −19.4 dBm are achieved with a 19.3-dB gain and a 10-mW power consumption. The core chip area is 1.11×0.48 mm.</t>
  </si>
  <si>
    <t>A 4.9–7.1-GHz High-Efficiency Post-Matching
GaN Front-End Module for Wi-Fi 7 Application</t>
  </si>
  <si>
    <t>Guansheng Lv; Wenhua Chen; Long Chen; Fadhel M. Ghannouchi; Zhenghe Feng</t>
  </si>
  <si>
    <t>This article presents a modified transmit/receive (T/R) front-end module (FEM) architecture with improved transmitter (TX) efficiency. Single-pole double-throw (SPDT) switch is commonly adopted in conventional FEM for T/R isolation, but its insertion loss (IL) deteriorates TX efficiency greatly. To alleviate this problem, a post-matching (PM) architecture is proposed to eliminate the switch in the TX branch. Specifically, a PM network (PMN) is employed to transform 50- Ω impedance at the antenna port into the intrinsic optimal load impedance of the power amplifier (PA), while the output capacitance of the PA is absorbed into a λ /4-transmission-line (TL)-based single-pole single-throw (SPST) switch in the receiver (RX) branch. The drain voltage of the PA can also be supplied via the SPST, avoiding the use of an additional choke inductor. The theoretical performance of the T/R switch, including bandwidth, IL, and isolation, is analyzed in depth. A 4.9–7.1-GHz FEM for Wi-Fi 7 application is implemented in a commercial 0.15- μm gallium nitride (GaN)-high-electron-mobility transistor (HEMT) process to validate the proposed architecture, and the chip size is only 2 × 1.6 mm. The TX mode realizes a saturated power of 37.1–38.6 dBm and a saturated power-added efficiency (PAE) of 45%–52.4%. With MCS9 EHT160 signals, an average PAE of 18.5%–23.3% at an average power of 28–29.9 dBm is measured, while the error vector magnitude (EVM) specification of – 32 dB is met. When digital predistortion (DPD) is applied, MCS13 EHT320 signals are also supported. The RX mode achieves a gain of 9.1–12.1 dB, a noise figure (NF) of 1.6–1.9 dB, and an input-referred third-order intercept point (IIP3) of 20.2–25.4 dBm.</t>
  </si>
  <si>
    <t>A Compact Millimeter-Wave Reconfigurable Dual-Band LNA With Image-Rejection in 28-nm Bulk CMOS for 5G Applications</t>
  </si>
  <si>
    <t>Ning-Zheng Sun; Li Gao; Hui-Yang Li; Jin-Xu Xu; Xiuyin Zhang</t>
  </si>
  <si>
    <t>This article presents a reconfigurable dual-band low noise amplifier (LNA) for 5G millimeter-wave (mmWave) applications in the TSMC 28-nm bulk CMOS process. The reconfigurable LNA is based on a two-stage amplifier design with switchable triple-coupled transformer and capacitor technologies applied to the inter-stage and output matching networks. The switchable triple-coupled transformer can change the self-inductance of the transformer coils by tuning the magnetic flux entering the coils. To suppress the image frequency interference, magnetic–electric hybrid coupling is integrated into the inter-stage matching network, which introduces a transmission zero, resulting in a high image rejection ratio. The measured result shows that the low band has a peak gain of 18.1 dB with a 3-dB bandwidth of 23.8–33.5 GHz, and the high band has a peak gain of 18.9 dB with a 3-dB bandwidth of 34.4–41.4 GHz. The image rejection ratio is better than 32.7 dBc with an intermediate frequency of 8 GHz. The measured NF is better than 3.5 dB at both bands. The IP1dB is -19 to -15.1/-18.5 to -15.2 dBm in the low/high band. The fabricated LNA has a very compact core size of 0.09 mm2, and the total power consumption is only 14 mW.</t>
  </si>
  <si>
    <t>https://ieeexplore.ieee.org/document/10536110</t>
  </si>
  <si>
    <t>06/2024</t>
  </si>
  <si>
    <t>A 4.4-mW 19–46-GHz Low-Noise Amplifier with Pole-Converging Gain Flattening and Triple-Resonance Input Matching</t>
  </si>
  <si>
    <t>Jiahan Fu; Changwenquan Song; Yihui Wang; Liang Wu</t>
  </si>
  <si>
    <t>A cascode low-noise amplifier (LNA) features wide frequency bandwidth with low power consumption. At the cascode stage, a pole-converging gain flattening technique is employed, simultaneously extending its −3-dB bandwidth and flattening the gain response across the entire frequency range. To substantially expand the frequency bandwidth of the input matching, a transformer-based triple-resonance network is proposed. In addition, the current reuse embedded helps reduce the DC power consumption. Prototyped in a 40-nm CMOS process, the proposed LNA measures a frequency range from 19 to 46 GHz, gain of 12.4 dB with 1.76-dB ripple, noise figure (NF) between 3.4 and 4.6 dB, and IP 1dB from −15 to −19.4 dBm. It consumes only 4.4-mW power from a 1-V supply, resulting in a figure of merit (FoM) of 21.6. The core area occupied is 0.096 mm 2 .</t>
  </si>
  <si>
    <t>https://ieeexplore.ieee.org/document/10600028</t>
  </si>
  <si>
    <t>A High-Gain D-Band LNA with Compact Gm-Boosting Core Based on Slow-Wave Feedback Achieving 6.1 dB NF in 40 nm CMOS</t>
  </si>
  <si>
    <t>Yun Qian; Xinge Huang; Yizhu Shen; Yifan Ding; Zhenghuan Wei; Qunfei Han</t>
  </si>
  <si>
    <t>This study presents a 3-stage D-band low-noise amplifier (LNA) with novel feedback for wide-angle scannable array. The proposed slow-wave feedback provides the simultaneous broadband matching for noise and input impedance, and significantly enhances gain by parasitic elimination. Each common-source (CS) stage effectively leverages the gm-boosting core consisting slow-wave feedback for promoting the maximum available gain (Gma) and noise rejection. To demonstrate the feasibility of the proposed circuit configuration, the LNA is implemented in a 40 nm bulk CMOS process. The fabricated LNA achieves decent measured power gain of 18.4 dB, 3-dB bandwidth of 16.5 GHz from 131 to 147.5 GHz and minimum in-band noise figure (NF) of 6.1 dB with 17.1 mW power consumption. The core area of the LNA is 0.057 mm 2 .</t>
  </si>
  <si>
    <t>https://ieeexplore.ieee.org/document/10600024</t>
  </si>
  <si>
    <t>A 46.7-dB Gain 9.3-K Noise Temperature 5.8-mW Two-Fold Current Reuse Dual Noise-Canceling LNA in 28-nm CMOS for Qubit Readout</t>
  </si>
  <si>
    <t>Mahesh Kumar Chaubey; Yin-Cheng Chang; Po-Chang Wu; Hann-Huei Tsai; Shawn S.H. Hsu</t>
  </si>
  <si>
    <t>https://ieeexplore.ieee.org/document/10600033</t>
  </si>
  <si>
    <t>A 200 GHz Wideband and Compact Differential LNA Leveraging an Active Balun Input Stage in 16nm FinFET Technology</t>
  </si>
  <si>
    <t>Ethan Chou; Nima Baniasadi; Ali Niknejad</t>
  </si>
  <si>
    <t>This paper presents a wideband and compact 200 GHz differential low-noise amplifier implemented in 16nm FinFET technology. A differential topology is enabled by employing an active balun input stage to avoid the losses of a conventional passive balun and to minimize the overall noise figure, as well as to provide wideband input matching across the signal bandwidth. Dual-peak transformer inter-stage matching networks and stagger-tuning are used in the remaining stages to achieve a wideband gain of 12 dB across a 172 - 220 GHz 3-dB bandwidth, limited by the measurement setup. The integrated noise figure across this bandwidth is 9.0 dB, with a minimum in-band noise figure of 8.3 dB. The amplifier consumes 28 mW and occupies an ultra-compact core area of 0.064 mm 2 . Compared to other CMOS low-noise amplifiers at similar frequencies, a competitive combination of bandwidth, noise figure, power consumption, and area enable the proposed low-noise amplifier to be suitable for use in next-generation high-capacity sub-THz receiver array front-ends.</t>
  </si>
  <si>
    <t>https://ieeexplore.ieee.org/document/10599990</t>
  </si>
  <si>
    <t>A Compact Ka-Band Bi-Directional PA-LNA with 17.4-dBm Psat Using Three-Stack Power Amplifier in 28-nm CMOS</t>
  </si>
  <si>
    <t>Jun Hwang; Byung-Wook Min</t>
  </si>
  <si>
    <t>This paper presents a compact Ka-band bi-directional power amplifier-low-noise amplifier (PA-LNA) employing a three-stack PA in a 28-nm CMOS process. In the proposed PA-LNA, the three-stack PA is cross-coupled with a common-source LNA to neutralize gate-drain capacitance (C gd ) of the LNA, enhancing stability and gain in LNA mode. Simultaneously, the three-stack PA achieves higher output power and gain in PA mode. Furthermore, transformer-based matching networks enable fully bi-directional operation within a compact die area. In PA mode, the proposed PA-LNA demonstrates a peak gain of 20.4 dB with a 3-dB bandwidth of 8.1 GHz (27.3−35.4 GHz), a saturated output power (P sat ) of 17.4 dBm with a peak power-added-efficiency (PAE) of 17.2%, and an error vector magnitude (EVM) of –31.5 dB with 256-quadrature amplitude modulation (QAM) and 800-MBaud symbol rate at 7-dBm average output power. In LNA mode, the proposed PA-LNA demonstrates a peak gain of 17.3 dB with a 3-dB bandwidth of 8 GHz (28.0−36.0 GHz), a noise figure (NF) of 5.3 dB, and an input third-order intercept point (IIP3) of 0 dBm. The core area of the PA-LNA is only 0.1 mm 2 .</t>
  </si>
  <si>
    <t>https://ieeexplore.ieee.org/document/10599967</t>
  </si>
  <si>
    <t>A Compact 28/39 GHz Dual-Band Concurrent/Band-Switching LNA for 5G Multi-Band Multi-Stream Applications</t>
  </si>
  <si>
    <t>Depeng Cheng; Qin Chen; Jing Feng; Xin Chen; Xujun Ma; Lianming Li</t>
  </si>
  <si>
    <t>This paper presents a 28/39 GHz multi-mode low noise amplifier (LNA) for 5G flexible dual-band beamforming MIMO applications. In the proposed LNA, its input stage leverages a compact three-winding transformer coupling technique to achieve wideband power gain and low noise figure (NF) in both 28/39 GHz bands. With two parallel g m -boosting reconfigurable common-gate amplifiers, the band-multiplexer block is realized, and the wideband signals could be split into two signal paths independently to support concurrent/band-switching modes. Based on the independent band splitting feature, the LNA output stages could be customized with the g m -boosting active gain cell and narrow-band passive matching network, achieving both enhanced power gain and out-of-band rejection. Fabricated in a 65-nm CMOS process, the proposed LNA occupies a compact core size of only 0.1 mm 2 . With measurements, the LNA achieves 26.3/25.5 dB peak gain, 3.6/3.8 dB minimum NF, -18.5/-16.4 dBm IIP 3 in the 28/39 GHz band-switching mode, and 22.9/23 dB peak gain, 4.97/4.9 dB minimum NF, -14.7/-12.4 dBm IIP 3 in the 28/39 GHz concurrent mode.</t>
  </si>
  <si>
    <t>https://ieeexplore.ieee.org/document/10600006</t>
  </si>
  <si>
    <t>A 29-48 GHz Variable Gain Low Noise Amplifier Using Active Load in 90-nm CMOS Process</t>
  </si>
  <si>
    <t>Chih-Hsueh Lai; Yunshan Wang; Yuen-Sum Ng; Chau-Ching Chiong; Huei Wang</t>
  </si>
  <si>
    <t>This paper presented a broadband (29–48 GHz) variable gain low-noise amplifier (VGLNA) with variable power consumption in 90-nm CMOS technology. A tunable active load is used for gain control and reduce power consumption in low gain states. In order to reduce the noise factor, the source degeneration technique is utilized with the goal of optimizing both noise and input matching. The tunable active load can not only reduce the power consumption but also minimize the variation of noise figure [1]. A measured peak gain of 19 dB with 3-dB bandwidth from 29–48 GHz and an 8-dB gain control range are achieved. The measured minimum noise figure is 5.3 dB with very little variation in different gain states. The measured of IP1dB drops from -16 to -17 dBm when tuned from high gain to low gain mode, while consuming 13.8-24.7-mW dc power.</t>
  </si>
  <si>
    <t>https://ieeexplore.ieee.org/document/10600361</t>
  </si>
  <si>
    <t>A Gm-Boosting Inductorless Noise-Canceling Low Noise Amplifier in 40-nm CMOS for Quantum Applications</t>
  </si>
  <si>
    <t>Mahesh Kumar Chaubey; Yeke Liu; Yin-Cheng Chang; Po-Chang Wu; Hann-Huei Tsai; Shawn S.H. Hsu</t>
  </si>
  <si>
    <t>This paper presents a high gain, low power, and compact cryogenic inductorless low-noise amplifier (LNA) in 40-nm CMOS for quantum applications. A common-gate noise-canceling topology is proposed for wideband input matching with a novel current-reuse complementary feedforward Gm -boosting stage for gain enhancement without contributing extra noise in the main noise-canceling stage. A self-body bias (SBB) technique is employed in the complementary Gm -boosting stage to compensate with Vth  increment and boost r out under cryogenic temperatures. At 4 K, the LNA attains a measured peak gain (S21) of 42.7 dB with a 3-dB bandwidth of 0.01-2.1 GHz with a minimum noise figure of 0.41 dB at 0.64 GHz and power dissipation of 5.3 mW. The circuit occupies a core area of only 0.017 mm 2 .</t>
  </si>
  <si>
    <t>https://ieeexplore.ieee.org/document/10600249</t>
  </si>
  <si>
    <t>Broadband Low-Noise Ka-Band Front-End MMIC in a 0.15-µm GaN-on-SiC HEMT Technology</t>
  </si>
  <si>
    <t>Fabian Thome; Philipp Neininger; Sebastian Krause; Peter Brückner; Rüdiger Quay</t>
  </si>
  <si>
    <t>This paper demonstrates a broadband transmit/ receive (Tx/Rx) front-end monolithic microwave integrated circuit (MMIC) for Ka-band operation. The MMIC is fabricated in a robust 0.15-µm GaN-on-SiC high-electron-mobility transistor (HEMT) technology and includes a three-stage low-noise amplifier (LNA), a three-stage power amplifier, and Tx/Rx selection single-pole double-throw switch. All components operate at a derated voltage of 20 V at most. The Tx path provides an output power of 32.2-34.9 dBm over an operating frequency from 31 to 40 GHz. The Rx path exhibits a small-signal gain and noise figure (NF) of (21.2 ± 2.5) dB and 2.7-3.5 dB, respectively, covering the entire Ka-band (26.5-40 GHz). Up to 36.5 GHz, the NF is below 3 dB. Furthermore, the output power at 1-dB gain compression of the Rx path is 11.6-13.7 dBm and can be increased to &gt;14.9dBm. The stand-alone LNA yields an NF of 1.5-2.4 dB from 25 to 40 GHz.</t>
  </si>
  <si>
    <t>https://ieeexplore.ieee.org/document/10600384</t>
  </si>
  <si>
    <t>W-Band Low-Noise-Amplifier MMICs in InGaAs HEMT Technologies on Gallium-Arsenide and Silicon Substrates</t>
  </si>
  <si>
    <t>Felix Heinz; Arnulf Leuther; Fabian Thome</t>
  </si>
  <si>
    <t>This paper reports on broadband low-noise amplifier (LNA) microwave monolithic integrated circuits (MMICs) realized in InGaAs high-electron-mobility transistor technology on GaAs and Si substrates targeting frequencies that extend the W-band (75-110GHz). InGaAs HEMT LNA MMICs on silicon substrate offer new options to hetero-integrate III/V semiconductor RF-performance with functionalities available in CMOS for applications such as multi-channel receivers. The use of front-side thin-film microstrip lines for matching allows for a feasible HEMT technology comparison even with different substrates. LNA 1 is realized in 35 nm metamorphic HEMT technology on GaAs substrate and LNA 2 is realized in a 20 nm InGaAs HEMT-on-insulator technology on Si substrate. Both circuits use the same passive networks for a fair comparison. LNA 1 achieves an average small-signal gain of 33.2 dB between 66-114 GHz with an average noise temperature of 189 K (2.2 dB) in W-band. LNA 2 on silicon substrate achieves 32.6 dB small-signal gain on average between 66-114 GHz with 218 K (2.4 dB) average input noise in W-band.</t>
  </si>
  <si>
    <t>https://ieeexplore.ieee.org/document/10600410</t>
  </si>
  <si>
    <t>A Power-Efficient, F-Band, 6.5-dB NF, Staggered-Tuned, Inverter-Based CMOS LNA for 6G Receivers</t>
  </si>
  <si>
    <t>Youssef O. Hassan; Mohammad Oveisi; Huan Wang; Payam Heydari</t>
  </si>
  <si>
    <t>A CMOS low-power, wideband, transformer-less, low noise amplifier (LNA), operating in the F-Band (90 – 130 GHz), tailored for 6G receivers is introduced. This work marks the first utilization of a complementary NMOS-PMOS inverter topology at above 100 GHz frequencies, showcasing not only low noise-efficiency factor (NEF) and high gm/I efficiency but also unparalleled energy efficiency due to the inherent current re-using feature of this structure. The stagger tuning across five gain stages facilitates a wide 40 GHz of RF bandwidth around the carrier frequency of 110 GHz. The use of simple CPW-based-matching networks rather than transformers leads to more precise electromagnetic modeling of the constituent passives. The proposed LNA is integrated with a previously-characterized down-conversion circuit to simplify the measurement process. The design, fabricated in a 22-nm FD-SOI CMOS process, occupies 0.08 mm2 of silicon area and exhibits a minimum noise figure of 6.5 dB, while consuming only 7.5 mW of DC power. This power efficiency coupled with a low noise figure represents a new benchmark in CMOS LNAs at this frequency range.</t>
  </si>
  <si>
    <t>https://ieeexplore.ieee.org/document/10600407</t>
  </si>
  <si>
    <t>Design of a W-Band Transformer-Based Switchless Bidirectional PALNA in 65-nm CMOS Process</t>
  </si>
  <si>
    <t>Chun-Chia Chien; Yunshan Wang; Yuen-Sum Ng; Chau-Ching Chiong; Huei Wang</t>
  </si>
  <si>
    <t>In this paper, a W-band transformer-based bidirectional PA-LNA using 65-nm CMOS process is presented. In this work, the paper presents switchless PA-LNA uses current-type transformer as a bidirectional matching network for PA and LNA inputs/outputs without using lossy T/R switches. As a side benefit, avoiding the use of the T /R switches not only saves the chip area, but also prevents performance degradation in PA and LNA modes. Due to these design features, the proposed switchless PALNA achieves a peak small-signal gain of 17.2 dB in PA and 18.5 dB in LNA mode and 3-dB bandwidth covers from 74 to 95 GHz, while LNA mode achieves minimum noise figure of 7 dB at 81 GHz. In the PA mode, it achieves the measured peak saturated output power of 10 dBm with 9.1 % peak power-added efficiency and 8 dBm peak 1-dB output power at 75 GHz. The chip size is 0.46 mm 2 .</t>
  </si>
  <si>
    <t>https://ieeexplore.ieee.org/document/10600445</t>
  </si>
  <si>
    <t>A &lt;5 dB NF, &gt; 17 dBm OP1 dB F-Band GaN-on-SiC HEMT LNA with a Monolithic Substrate-Integrated Waveguide Filter</t>
  </si>
  <si>
    <t>Fabian Thome; Dirk Schwantuschke; Peter Brückner; Xiaopeng Wang; James C. M. Hwang; Rüdiger Quay</t>
  </si>
  <si>
    <t>This paper demonstrates the monolithic integration of a substrate-integrated waveguide bandpass filter (BPF) and a low-noise amplifier (LNA) at F-band, fabricated in a 70-nm GaN-on-SiC technology. The three-stage LNA alone achieves a state-of-the-art average noise figure of 3.6 dB over 87-115 GHz. The LNA + BPF exhibits a peak gain of 13.6 dB over a 3 dB bandwidth of 17 GHz from 104 to 121 GHz. The average noise figure is 4.9 dB over 87–115 GHz. The OP 1dB and saturated output power are 17.6 dBm and &gt;20 dBm, respectively.</t>
  </si>
  <si>
    <t>https://ieeexplore.ieee.org/document/10600353</t>
  </si>
  <si>
    <t>A Ku-Band +2 dBm IIP3 Transformer-Based LNA with Loop-Gain-Enhanced Capacitive Negative Feedback</t>
  </si>
  <si>
    <t>Teng-Shen Yang; Po-Yao Hsu; Liang-Hung Lu</t>
  </si>
  <si>
    <t>This letter presents a novel Ku-band capacitive negative feedback (CNF) low-noise amplifier (LNA). The loop-gain-enhanced capacitive negative feedback technique proposed in this work can suppress the noise contribution of the common-gate transistor in the first cascode stage, simultaneously enhancing the linearity of the overall LNA within the desired frequency band. Moreover, wideband operation is guaranteed through the utilization of the staggered tuning technique and the bandwidth extension technique. The measured results show that the proposed LNA, implemented in TSMC 180nm CMOS technology, achieves a peak gain of 17.1 dB with the 3-dB bandwidth ranging from 9.9 GHz to 13.5 GHz. The minimum noise figure (NF) within the desired band is 4.4 dB, with an IIP3 of +2 dBm, while consuming 28.8 mW of power. The core area of the proposed LNA is 0.6 mm 2 .</t>
  </si>
  <si>
    <t>https://ieeexplore.ieee.org/document/10600304</t>
  </si>
  <si>
    <t>Sub-10-GHz Cryo-CMOS LNAs Achieving Up to 0.07-dB Average NF Thanks to Back Biasing for Qubit Readout in 28-nm FD-SOI</t>
  </si>
  <si>
    <t>V. Puyal; Q. Berlingard; J. Lugo-Alvarez; B. Blampey; M. Cassé; D. Belot</t>
  </si>
  <si>
    <t>This paper presents cryogenic CMOS inverter-based low noise amplifiers (LNAs) for highly integrated quantum readout electronics. The circuits are fabricated in a 28-nm FD-SOI process. The LNAs consist of three stages: a first inverter stage for noise optimization, a second inverter stage for gain enhancement and a last output buffer stage for impedance matching. Four versions have been designed to cover all qubit readout sub-10-GHz scenarios. The LNAs are measured on a cryogenic on-wafer probe station at room temperature (RT: 300K) and at cryogenic temperature (CT: 4K). Thanks to the use of the back gate, the proposed circuits achieve, depending on the version, a noise figure (NF) of 1.2-2.6 dB and 0.13-0.54 dB at 300K and 4K, respectively. By pushing further the back gate voltage, a minimum NF of 0.07 dB at 4K is attained, corresponding to an ultra-low noise temperature of 4.7K.</t>
  </si>
  <si>
    <t>https://ieeexplore.ieee.org/document/10600229</t>
  </si>
  <si>
    <t>Compact KiKa-Band Frontend PA and LNA in 16nm FinFET for Next Generation Digitally Intensive Arrays</t>
  </si>
  <si>
    <t>Edward Liu; Boce Lin; Cho-Ying Lu; Hua Wang</t>
  </si>
  <si>
    <t>This paper presents a two-stage power amplifier (PA) and a one stage low noise amplifier (LNA), both implemented in a 16nm FinFET process. The PA consists of a common-source (CS) driver stage and doubly neutralized cascode power stage. With a 5G NR FR2 100 MHz 64-QAM modulated signal, this PA achieves an average output power of 10.7 dBm and an average power added-efficiency (PAE) of 13.7% at 24 GHz. The rms error vector magnitude (EVMrms) is −25.1 dB. The LNA utilizes a cas coded inductive source degenerated common source topology. It achieves S11 &lt;-10 dB bandwidth from 27.5 to 30 GHz and S21 −3dB bandwidth from 24.5 to 32 GHz. The measured NF is 2.2 dB at 27 GHz. The power consumption is 10.4 mW. With two tones at 26.95 GHz and 27.05 GHz, the measured IIP3 is 0.87 dBm.</t>
  </si>
  <si>
    <t>https://ieeexplore.ieee.org/document/10600301</t>
  </si>
  <si>
    <t>A 240-GHz Wideband LNA with Dual −Peak−Gmax Cores and Customized High-Speed Transistors in 40-nm CMOS</t>
  </si>
  <si>
    <t>Yu-Kai Chen; Wei-Zhe Su; Yi-Fan Tseng; Chun-Hsing Li</t>
  </si>
  <si>
    <t>A 240-GHz wideband low-noise amplifier (LNA) incorporating high-speed customized transistors and dual-peak Gmax cores is proposed in this work for 6G applications. The customized transistors, designed and modeled using an electromagnetic modeling approach, reduce the gate resistance and the drain-to-gate capacitance, enhancing fmax from 288 to 394 GHz. The dua1−peak−Gmax core utilizes a reciprocal embedding network consisting of two pre-embedding transmission lines and a DC-isolated Y-embedding transmission line to achieve maximum gain conditions at 221 and 261 GHz simultaneously, enabling the LNA to exhibit wideband characteristics efficiently. Implemented in a 40-nm digital CMOS technology, the proposed LNA shows a measured power gain of 16.2 dB at 220 GHz with a 3-dB bandwidth spanning from 208.6 to 223.6 GHz and a simulated noise figure of 11.5 dB while only consuming 34.7 mW from a 0.9-V supply. The measured output 1-dB compression point is −5.3 dBm at 220 GHz.</t>
  </si>
  <si>
    <t>https://ieeexplore.ieee.org/document/10600300</t>
  </si>
  <si>
    <t>https://ieeexplore.ieee.org/document/10600420</t>
  </si>
  <si>
    <t>39 GHz Transmit/Receive Front-End-Module with Back-Off Efficiency Enhancement for 5G Communication</t>
  </si>
  <si>
    <t>Hang Yu; Mehran Hazer Sahlabadi; Slim Boumaiza</t>
  </si>
  <si>
    <t>This paper presents a transmit/receive (TX/RX) front-end module (FEM) featuring enhanced back-off (BO) efficiency and low noise figure (NF) for fifth-generation wireless infrastructure. Specifically, it proposes a TX/RX combiner that performs necessary Doherty's load modulation for enhancing the TX's efficiency in BO and carefully incorporates a switch in the RX side to maximize isolation and optimize the tradeoff between RX NF and TX power efficiency while maintaining a compact area. A circuit demonstrator is implemented using the 45 nm silicon-on-insulator CMOS process. Measurement results demonstrate 15 dB small signal gain, 20 dBm output power with 23% and 15% power added efficiency at peak and 6 dB BO in TX mode, and 20 dB small signal gain with a 4.5 dB NF and −16 dBm IP1dB while consuming only 32 mW in RX mode. The overall core size of the TX/RX FEM is 0.5×0.75 mm 2 .</t>
  </si>
  <si>
    <t>A 6.8 - 9.4 GHz LNA Achieving 36.5 dB Peak Gain, Consuming 4.28 mW with an Adjustable Threshold Limiter for IR-UWB Applications</t>
  </si>
  <si>
    <t>Stefan Lepkowski; Travis Forbes; Jesse Moody</t>
  </si>
  <si>
    <t>This paper presents a low-power staggered tunning LNA with a variable threshold limiter designed for impulse-radio ultra-wideband (IR-UWB). This amplifier has a high gain of 36.5 dB with a 3dB S21 frequency of 6.8 - 9.4 GHz while consuming 4.28 mW from a 0.8 V supply. The input return loss is better than 8 dB across the band and 10 dB from 6.9 GHz. The output return loss is better than 18 dB across the operating bandwidth. At 9 GHz, the minimum noise figure measured is 4.85 dB. The OP1dB compression point is measured at 7.8 GHz as -5.5 dBm. We also present an adjustable threshold limiter, providing additional protection over a typical diode limiter circuit. This amplifier is fabricated in a 45nm PD-SOI process. To the author's knowledge, this LNA demonstrates the highest linear figure of merit (FoM) in C and X band work.</t>
  </si>
  <si>
    <t>https://ieeexplore.ieee.org/document/10600313</t>
  </si>
  <si>
    <t>Fusion Design of Cryogenic Filtering Low-Noise Amplifier With High Out-of-Band Rejection Assisted by Grey Wolf Optimizer</t>
  </si>
  <si>
    <t>https://ieeexplore.ieee.org/document/10663078</t>
  </si>
  <si>
    <t>Hongliang Tian; Haiwen Liu; Zeren Song; Sidong Wang; Ruolin Wang; Shaofei Wang</t>
  </si>
  <si>
    <t>A cryogenic filtering low-noise amplifier (LNA) using 100-nm InP technology is presented in this letter. Fusion design method is utilized to incorporate filtering functionality seamlessly into LNA without adding extraneous noise and or occupying excessive chip area. The grey wolf optimization (GWO) algorithm is employed to increase the design efficiency and optimize the circuit performance. Experimental results demonstrate the 4–8-GHz filtering LNA at 5 K achieves a gain of 33.6 ± 1.5 dB and an average noise temperature of 4.8 K with a minimum noise temperature of 3.5 K at 4.4 GHz. Multiple zeroes are generated, leading to an out-of-band rejection of over 60.7 dB across 0–2 GHz and 50.9 dB from 12 to 30 GHz.</t>
  </si>
  <si>
    <t>04/2024</t>
  </si>
  <si>
    <t>Low-Noise Power-Amplifier MMICs for the WR4.3 and WR3.4 Bands in a 35-nm Gate-Length InGaAs mHEMT Technology</t>
  </si>
  <si>
    <t>This letter presents two distributed low-noise power-amplifier (LNPA) monolithic microwave integrated circuits (MMICs). The two amplifiers (DA1 and DA2) target the WR4.3 (170–260 GHz) and WR3.4 bands (220–330 GHz) as a minimum operating bandwidth (BW). The MMICs are realized in the Fraunhofer IAF 35-nm InGaAs mHEMT technology. Both amplifiers yield a small-signal gain of more than 20 dB from 110 GHz up to the corresponding upper band edges (265 and 335 GHz) and an average noise figure (NF) of 4.5 dB (110–216 GHz). Furthermore, DA1 delivers a saturated output power ( Psat ) of 12.4–15.2 dBm with a power-added efficiency (PAE) of 3.4%–6.2% (160–255 GHz). DA2 exhibits a Psat of 10–14.5 dBm (210–335 GHz). To the best of the authors’ knowledge, DA1 and DA2 present the best NF and Psat over the full WR4.3 and WR3.4 bands, respectively.</t>
  </si>
  <si>
    <t>https://ieeexplore.ieee.org/document/10505304</t>
  </si>
  <si>
    <t>5/2025</t>
  </si>
  <si>
    <t>A 58–110 GHz 4.2 dB Minimum NF CMOS LNA With Broadband Simultaneous Noise and Impedance Matching</t>
  </si>
  <si>
    <t>Youming Zhang; Xusheng Tang; Zhennan Wei; Xiaoxiao Feng; Fengyi Huang</t>
  </si>
  <si>
    <t>This letter presents a hybrid series-shunt LC tank matching technique, which constructs an imaginary-impedance part for impendence (power) matching and cancels the imaginary-impedance deviations caused by the aggravated load and parasitic effects in millimeter-wave (mm-wave) high-frequency band, allowing broadband simultaneous noise and impedance matching (BSNIM) for mm-wave CMOS low-noise amplifier (LNA). The proposed matching network has been synthesized into a triple-coupled transformer-based matching network further to enable a compact and robust solution in differential circuit design. To validate the proposed BSNIM techniques, an E/W -band LNA is fabricated with 40-nm CMOS, and achieves less than −10 dB S11 from 58 to 110 GHz and a low noise figure (NF) of 4.2–6.9 dB from 58 to 100 GHz. The peak gain of the LNA is 16.4 dB at 85 GHz with a 3-dB gain bandwidth (BW) from 70 to 91 GHz, while consuming 20.7 mW from 0.9-V supply</t>
  </si>
  <si>
    <t>https://ieeexplore.ieee.org/document/10470459</t>
  </si>
  <si>
    <t>A D -Band High-Gain Low-Noise Amplifier With Transformer-Embedded Network Gmax -Core in 40-nm CMOS</t>
  </si>
  <si>
    <t>Yu-Hsiang Wang; Yunshan Wang; Yu-Hsiang Cheng</t>
  </si>
  <si>
    <t>A D -band high-gain low-noise amplifier (LNA) utilizing novel transformer-based four-stage Gmax -cores in a 40-nm bulk CMOS process is proposed in this letter. The Gmax -core is constructed by a Y -embedded network using a transformer, which separates the gate and drain bias. This approach solved the limitations in the traditional Gmax -core structure which the gate and drain bias are constrained to the same voltage. The power consumption is reduced and gain is improved, while achieving a lower noise figure (NF). A 27.74-dB peak gain is measured at 143.5 GHz, with a 3-dB bandwidth of 7 GHz, and the minimum NF is 7.6 dB. The fabricated chip occupies an area of 0.35 mm 2 with all pads and the dc power consumption is 27.1 mW.</t>
  </si>
  <si>
    <t>https://ieeexplore.ieee.org/document/10723105</t>
  </si>
  <si>
    <t>7/2024</t>
  </si>
  <si>
    <t>A Reconfigurable LNA With Compact Magnetic-Capacitive Coupling Transformer Networks for 5G 28-/39-GHz Applications</t>
  </si>
  <si>
    <t>Depeng Cheng; Xin Chen; Qin Chen; Xujun Ma; Lianming Li</t>
  </si>
  <si>
    <t>This letter presents a frequency reconfigurable low-noise amplifier (LNA) for 5G 28-/39-GHz bands applications. In the proposed LNA, a wideband input common-source amplifier is designed to cover both 28- and 39-GHz bands, and following two parallel switchable common-gate amplifiers are leveraged to split the RF signal into two independent signal paths. Thus, the output single-band amplifiers could be optimized flexibly at each target operating band with area-efficient magnetic-capacitive coupling transformer-based matching networks, improving the amplifier power gain, noise figure, and out-of-band signal rejection performance. Fabricated in a 65-nm CMOS process, the proposed LNA has a compact die size of only 0.1 mm2 and achieves 16.6-/15-dB peak gain, 4.06-/4.46-dB minimum NF, and -12.1-/-16.5-dBm IP1dB at 28-/39-GHz bands, respectively, while consuming 26.4 mW from a 1.2-V power supply.</t>
  </si>
  <si>
    <t>https://ieeexplore.ieee.org/document/10542083</t>
  </si>
  <si>
    <t>A 60-GHz Phase-Invariant Variable Gain LNA With T/R Switch and Gain Interpolation Techniques in 65-nm CMOS</t>
  </si>
  <si>
    <t>Xin Chen; Depeng Cheng; Xujun Ma; Jing Feng; Qin Chen; Xu Wu</t>
  </si>
  <si>
    <t>This letter presents a three-stage 60-GHz phase-invariant variable gain low-noise amplifier (VG-LNA) with accurate gain tuning step and large gain tuning range. A single-ended cascode amplifier is adopted as the first stage to integrate the transmit/receive (T/R) switch and achieve wideband input matching. Besides, with gain interpolation techniques, by combining three different gain cells, a stacked gain-boosting variable gain amplifier is proposed to realize wide-range and accurate dB-linear gain tuning functions simultaneously, showing the merits of low layout and logic control complexity. Fabricated in a 65-nm CMOS process, the VG-LNA consumes 38.4 mW with a core area of 0.08 mm2. With measurements, the proposed VG-LNA achieves a peak gain of 20 dB with a 3-dB bandwidth over 53–66.5 GHz and a minimum noise figure (NF) of 6.3 dB. Across a 17.5-dB gain tuning range, it realizes an average gain resolution of 0.47 dB, with an rms phase and amplitude error of less than 2.6° and 0.14 dB, respectively.</t>
  </si>
  <si>
    <t>https://ieeexplore.ieee.org/document/10466670</t>
  </si>
  <si>
    <t>A 1.6-mW Cryogenic SiGe LNA IC for Quantum Readout Applications Achieving 2.6-K Average Noise Temperature From 3 to 6 GHz</t>
  </si>
  <si>
    <t>Zhenjie Zou; Sanjay Raman; Joseph C. Bardin</t>
  </si>
  <si>
    <t>Readout of superconducting quantum processors of sufficient scale to enable useful fault-tolerant quantum computing will require large arrays of high-performance cryogenic low-noise amplifiers. While it is desirable to employ silicon-based integrated-circuit amplifiers for this application, to date, the noise performance of such devices has been significantly worse than that of amplifiers implemented in III-V technologies. Here, we present the design and characterization of a high-gain cryogenic SiGe LNA IC achieving an average noise temperature of 2.6 K over the 3–6-GHz frequency band while dissipating just 1.6 mW. To the best of our knowledge, this amplifier achieves the best performance of any silicon-based LNA (discrete or integrated circuit) operating in this frequency range.</t>
  </si>
  <si>
    <t>https://ieeexplore.ieee.org/document/10522794</t>
  </si>
  <si>
    <t>A Cryogenic 2.9–8.6-GHz LNA With Bandwidth Extension Technique for Quantum Applications</t>
  </si>
  <si>
    <t>Teng-Shen Yang; I-Hsun Chen; Liang-Hung Lu</t>
  </si>
  <si>
    <t>This work presents a wideband and power-efficient cryogenic low-noise amplifier (LNA) for quantum computing. Based on the inductive source-degeneration topology, a lossy output-feedback transformer (OFT) generates two slightly damping conjugate poles, which broaden the 3-dB bandwidth at higher frequencies and maintain low-noise performance. In addition, an input-matching transformer (IMT) is adopted to guarantee the input-matching bandwidth. Fabricated in a 0.18- μ m CMOS technology, the proposed LNA exhibits a peak gain of 9.24 dB with a 3-dB bandwidth ranging from 2.9 to 7.8 GHz at room temperature (RT) (300 K). The minimum measured noise figure (NF) is 2.24 dB. At cryogenic temperature (CT) (4 K), the LNA shows a measured peak gain of 14.23 dB with a 3-dB bandwidth from 2.9 to 8.6 GHz, and the minimum measured NF is 0.6 dB. The power consumption of the LNA is 10 mW. To the best of the authors’ knowledge, the proposed LNA offers the widest bandwidth at 4 K among CMOS LNAs with power consumption below 10 mW.</t>
  </si>
  <si>
    <t>https://ieeexplore.ieee.org/document/10714020</t>
  </si>
  <si>
    <t>A GaN-on-Si MMIC LNA for Spaceborne Cloud Profiling Radars and W -Band Telecom Links</t>
  </si>
  <si>
    <t>David Cuadrado-Calle; Mikko Kantanen; Václav Valenta; Natanael Ayllón</t>
  </si>
  <si>
    <t>The European Space Agency (ESA) has designed a 70–95 GHz gallium-nitride-on-silicon (GaN-on-Si) monolithic microwave integrated circuit (MMIC) low noise amplifier (LNA) for future spaceborne cloud profiling radar (CPR) instruments at 94 GHz, like Wivern. The MMIC LNA has also been designed to be compatible with the W -band telecommunication feeder down (71–76 GHz) and up-links (81–86 GHz). The MMIC test results show an average noise figure of 3.9 dB and an average gain of 22.5 dB. The minimum measured noise figure is 2.8 dB at 77 GHz. The MMIC was subject to an input overdrive test and survived the application of a pulsed CPR representative signal with a level of + 23 dBm without showing any subsequent malfunction. To the best knowledge of the authors, these results show: 1) the best overall performance for any GaN-on-Si LNA reported to date in the 70–95 GHz range and 2) the first reporting in the open literature of an input overdrive test in a W-band GaN LNA.</t>
  </si>
  <si>
    <t>https://ieeexplore.ieee.org/document/10721604</t>
  </si>
  <si>
    <t>A 0.3–28-GHz Frequency Range, 1.2-dB Noise Figure, Cascode Distributed LNA With Wide Temperature Range for Satellite Communications</t>
  </si>
  <si>
    <t>Xiaodong Han; Qiangji Wang; Zhongliang Li; Weibin Qin; Jiawen Wang; Haonan Fan</t>
  </si>
  <si>
    <t>A broadband cascode distributed low-noise amplifier (CDLNA) with a wide operating temperature range is proposed in this work. A series of diodes are used as bias networks to achieve temperature compensation. To enhance the gain level in the passband, the negative resistance network is employed to offset drain transmission line losses. An attenuator based on reverse-biased diodes and resistors is designed to improve stability across the wideband. The circuit is implemented using a 0.15- μ m GaAs pHEMT process with a chip area of 2.6 × 1.55 mm 2 . Test results show that the CDLNA achieves an average gain of 17.5 dB, a linearity index OP1 dB of 14.0 dBm, a minimum noise figure (NF) of 1.2 dB, and an operating frequency range of 0.3–28 GHz. The operating temperature range is − 55 ∘ C to 85 ∘ C, within which the gain variation is less than 742 ppm/ ∘ C, and the NF variation is less than 2667 ppm/ ∘ C</t>
  </si>
  <si>
    <t>https://ieeexplore.ieee.org/document/10742952</t>
  </si>
  <si>
    <t>A 4-mW 2.2–6.9 GHz LNA in 16 nm FinFET Technology for Cryogenic Applications</t>
  </si>
  <si>
    <t>Runzhou Chen; Hamdi Mani; Phil Marsh; Richard Al Hadi; Pragya Shrestha; Jason Campbell</t>
  </si>
  <si>
    <t>This work presents the design and measurement of a low-power wide-band cryogenic low-noise amplifier (LNA) that operates at both room and cryogenic temperatures using 16 nm FinFET technology. The LNA is packaged and measured at both room and cryogenic temperatures. It features a compact multistage cascode topology and operates between 2.2 and 6.9 GHz, with a noise figure (NF) of 0.36 dB, a peak gain of 31.4 dB, and a total dc power consumption of 4 mW at 18 K temperature.</t>
  </si>
  <si>
    <t>https://ieeexplore.ieee.org/document/10726929</t>
  </si>
  <si>
    <t>Version Nov 2024</t>
  </si>
  <si>
    <t>A 22.4-to-35-GHz Two-Stage Low-Noise Amplifier With Triple-Coupled Transformer-Based Input Matching Technique in 65-nm CMO</t>
  </si>
  <si>
    <t>Bihong Zhang; Xiaolong Liu</t>
  </si>
  <si>
    <t>This article presents the analysis and design of a two-stage low-noise amplifier (LNA) with enhanced wideband input matching bandwidth and a low flat noise figure (NF) across the entire operating range. A compact triple-coupled transformer-based input power matching network is proposed to facilitate broadband input and noise matching simultaneously. In addition, by accounting for the loading effect of the interstage magnetically coupled resonator (MCR), a third peak of input impedance is achieved for further bandwidth extension. Designed and fabricated in a 65-nm CMOS process, the proposed LNA achieves a 3-dB bandwidth from 22.4 to 35 GHz with a gain of 12.0 dB. The 10-dB input return loss bandwidth is 33.7 GHz, spanning from 14.9 to 48.6 GHz. The measured NF is between 2.7 and 3.2 dB, and the input 1-dB gain compression point (IP1dB) ranges from −12.5 to −10.6 dBm. The measured third-order input intercept point (IIP3) is −0.7 dBm at 28 GHz. The LNA consumes 11.3 mW and occupies a core area of 0.15 mm2.</t>
  </si>
  <si>
    <t>https://ieeexplore.ieee.org/document/11162927</t>
  </si>
  <si>
    <t>Pulsed HEMT LNA Operation for Qubit Readout</t>
  </si>
  <si>
    <t>Yin Zeng; Jörgen Stenarson; Peter Sobis; Jan Grahn</t>
  </si>
  <si>
    <t>9/2025</t>
  </si>
  <si>
    <t>Large-scale qubit readout in quantum computing systems requires highly sensitive amplification with minimal power consumption to reduce the thermal load and preserve qubit integrity. We propose a pulse-operated cryogenic low-noise amplifier (LNA) scheme that minimizes the influence of the LNA on qubit operation and reduces power consumption by duty cycling. A modified commercially available cryogenic hybrid LNA based on InP high-electron mobility transistors (HEMTs) has been characterized to demonstrate the feasibility of pulsed operation for qubit readout. The transient noise and gain performance of the LNA were obtained through a cryogenic time domain noise measurement setup with 5-ns time resolution and a measured noise standard deviation (SD) below 0.3 K. The time-domain noise and gain performance of the LNA in response to a square gate voltage waveform were investigated. Through an analysis of the LNA’s recovery limitations, we developed a fast recovery bias strategy leading to the optimization of the gate voltage waveform using a genetic algorithm (GA). This resulted in a strong enhancement of transient noise and gain performance with a recovery time of 35 ns. The drain current transients were measured to calculate the average power consumption of the pulse-operated LNA, which confirmed a reduction in average power consumption proportional to the duty cycle. This work contributes to the development of high-performance and low-power amplifier solutions critical for large-scale qubit readout applications.</t>
  </si>
  <si>
    <t>https://ieeexplore.ieee.org/document/10969553</t>
  </si>
  <si>
    <t>A 4 K 0.7 mW 9.1–14 GHz Low-Noise Amplifier With Cryogenic Numerical Noise Analysis</t>
  </si>
  <si>
    <t>Teng-Shen Yang; Liang-Hung Lu</t>
  </si>
  <si>
    <t>This article presents a 0.7mW, 9.1–14GHz low-noise amplifier (LNA) designed for quantum applications and characterized at both room temperature (300 K) and cryogenic temperature (4 K). By performing numerical analysis, the temperature coefficients of the dominant noise mechanisms from 300 to 4 K are extracted. Furthermore, a practical methodology is proposed for simulating cryogenic RF performance without requiring an accurate cryogenic process design kit (PDK). By modifying the electromagnetic (EM) substrate model and adjusting the simulation temperature to 200 K, the simulated S-parameters and power consumption closely match the measured results at 4 K. Fabricated in 90-nm complimentary metal–oxide–semiconductor (CMOS), the stacked inverter–common-source LNA consumes 0.7mW at 4 K and achieves 15.5dB gain with a 9.1–14GHz bandwidth and 0.9dB minimum noise figure (NF). The measured noise is reduced by a factor of 5.72 at 12GHz and 3.68 at 9GHz when cooled from 300 to 4 K, and a temperature coefficient of 3.33 is extracted for induced channel noise</t>
  </si>
  <si>
    <t>https://ieeexplore.ieee.org/document/11268381</t>
  </si>
  <si>
    <t>8/2025</t>
  </si>
  <si>
    <t>Broadband Low-Noise Amplifier Based on Unconventional Matching Networks</t>
  </si>
  <si>
    <t>Walter Ciccognani; Sergio Colangeli; Patrick E. Longhi; Antonio Serino; Filippo Bolli; Enzo De Angelis</t>
  </si>
  <si>
    <t>This work focuses on designing, fabricating, and testing a broadband low-noise amplifier (LNA) by exploiting dissipative reciprocal matching networks. With reference to a broadband power amplifier, the critical theoretical aspects of the proposed approach have already been presented in a previous publication from the same authors. Herein, the mathematical aspects to extend the applicability of the approach to an LNA are briefly analyzed, and a sample project is discussed in detail. Compared to the cited work, the theoretical impedances needed for the flat-gain condition happen to be more critical in this particular case, imposing the adoption of a more complex base cell, i.e., a cascode pair, and an unconventional output matching network built on a Guanella transformer. The amplifier showed a measured input-output return loss better than 10 dB, a gain of 7.5±1.5 dB, and a noise figure better than 2.5±0.5 dB over the subband 4–35 GHz.</t>
  </si>
  <si>
    <t>https://ieeexplore.ieee.org/document/10922725</t>
  </si>
  <si>
    <t>Toward Pareto Optimal Voltage Distribution in Power Efficient Low-Noise Amplifiers</t>
  </si>
  <si>
    <t>Bo Lindstrom; Jesse Moody</t>
  </si>
  <si>
    <t>This document details the design of a low-power, high-gain low-noise amplifier (LNA) in 45-nm CMOS. The superb RF metrics and small footprint of the device make it an excellent candidate for integration into ultrawideband impulse radio (IR-UWB) and 6G satellite communication systems. Exceptional performance is obtained by carefully optimizing voltage and current distributions for each transistor in the multistage amplifier, specifically at the input, where an extremely power efficient topology is adopted. The input stage leverages two complementary current reuse amplifier cells stacked in series between the supply rail and ground. Sharing a common dc bias current, their RF currents are summed in parallel through capacitive coupling. This allows for a fourfold power savings with no penalty to voltage gain when compared to a conventional approach. At each gain stage, a degree of device stacking is chosen to progress toward a Pareto optimal voltage distribution (POVD), which considers the available supply voltage, expected RF signal swing, and minimum operating voltage of the FET devices. Judicious consideration of these factors can yield power savings at no cost to gain, linearity, or noise. Adhering to this design methodology enables an LNA, which consumes 6.5 mW of power, and demonstrates a peak gain of 24.1 dB, 2.9-GHz bandwidth (BW), a 4.3-dB noise figure (NF), and an IP1dB of −22.9 dBm. This equates to an excellent LNA figures of merit (FOM) when compared to similar devices in the C- and X-bands.</t>
  </si>
  <si>
    <t>https://ieeexplore.ieee.org/document/11264622</t>
  </si>
  <si>
    <t>https://ieeexplore.ieee.org/document/11154445</t>
  </si>
  <si>
    <r>
      <t xml:space="preserve">This work introduces a highly effective and robust design methodology for the concurrent realization of a high-power, integrated reflective transistor-based limiter and a low-noise amplifier (LNA), incorporating a novel biasing architecture robust against process and temperature variations. To significantly enhance the power handling capability of the limiter while preserving the low-noise performance of the LNA, a transistor-based configuration is proposed, featuring a new leakage reduction technique. Additionally, transistor-level protection mechanisms are implemented in all gain stages to mitigate excessive gate–source voltage swings across all three amplification stages, ensuring minimal degradation of the overall noise figure (NF). The integrated codesigned limiter-LNA employs an innovative bias circuit that tightly regulates gain stage currents, exhibiting only ±12% fluctuation under process variations and demonstrating robust thermal performance. A key advantage of the proposed architecture is its inherent out-of-band signal rejection, which eliminates the need for off-chip band-selection filters, thereby simplifying the system design and reducing cost. Fabricated in 0.15- </t>
    </r>
    <r>
      <rPr>
        <i/>
        <sz val="13.2"/>
        <color theme="1"/>
        <rFont val="MathJax_Math"/>
      </rPr>
      <t>μ</t>
    </r>
    <r>
      <rPr>
        <sz val="11"/>
        <color theme="1"/>
        <rFont val="Calibri"/>
        <family val="2"/>
        <scheme val="minor"/>
      </rPr>
      <t xml:space="preserve"> m AlGaAs–InGaAs pHEMT technology, the circuit reliably handles continuous wave (CW) input powers exceeding 10 W. It achieves a low average NF of 2.1 dB and delivers 25 dB gain, with an 8 dB gain switching capability while maintaining output-referred linearity merits across the 8.5–10.5 GHz bandwidth. The proposed limiter-LNA demonstrates an average output 1-dB-compression point and third-order intercept points of 14 dBm and 28 dBm, respectively, at 9.5 GHz for both gain modes, drawing 82 mA dc current from 3.5 V supply voltage.</t>
    </r>
  </si>
  <si>
    <t>Bahar Jarollahi; Majid Yaghoobi; Masoud Meghdadi; Ali Medi</t>
  </si>
  <si>
    <t>Codesign of Dual-Gain X-Band 10-W Reflective Limiter and Low-Noise Amplifier in 0.15-μm GaAs pHEMT Technology</t>
  </si>
  <si>
    <t>7/2025</t>
  </si>
  <si>
    <t>2/2025</t>
  </si>
  <si>
    <t>Fully Automatically Synthesized mm-Wave Low-Noise Amplifiers for 5G/6G Applications</t>
  </si>
  <si>
    <t>Luís Mendes; João Silva; Nuno Lourenço; João Caldinhas Vaz; Ricardo Martins; Fábio Passos</t>
  </si>
  <si>
    <r>
      <t xml:space="preserve">This work describes a fully automated design methodology applied to the design of millimeter-wave (mm-Wave) low-noise amplifiers (LNAs) in a 65-nm CMOS technology. The proposed approach is the first fully automated design methodology to consider an mm-Wave circuit with fully automatic sizing and layout synthesis with prototype measurement. Two LNAs were fabricated and experimentally characterized. LNA1 prototype, targeted for low power consumption, dissipates 2.26 mW @ </t>
    </r>
    <r>
      <rPr>
        <i/>
        <sz val="13.2"/>
        <color theme="1"/>
        <rFont val="MathJax_Math"/>
      </rPr>
      <t>V</t>
    </r>
    <r>
      <rPr>
        <sz val="7.75"/>
        <color theme="1"/>
        <rFont val="MathJax_Main"/>
      </rPr>
      <t>DD</t>
    </r>
    <r>
      <rPr>
        <sz val="13.2"/>
        <color theme="1"/>
        <rFont val="MathJax_Main"/>
      </rPr>
      <t>=0.6</t>
    </r>
    <r>
      <rPr>
        <sz val="11"/>
        <color theme="1"/>
        <rFont val="Calibri"/>
        <family val="2"/>
        <scheme val="minor"/>
      </rPr>
      <t xml:space="preserve"> V to achieve a 3-dB </t>
    </r>
    <r>
      <rPr>
        <i/>
        <sz val="13.2"/>
        <color theme="1"/>
        <rFont val="MathJax_Math"/>
      </rPr>
      <t>S</t>
    </r>
    <r>
      <rPr>
        <sz val="7.75"/>
        <color theme="1"/>
        <rFont val="MathJax_Main"/>
      </rPr>
      <t>21</t>
    </r>
    <r>
      <rPr>
        <sz val="11"/>
        <color theme="1"/>
        <rFont val="Calibri"/>
        <family val="2"/>
        <scheme val="minor"/>
      </rPr>
      <t xml:space="preserve"> bandwidth (BW) of 8.4 GHz (from 22.3 to 30.7 GHz), a noise figure (NF) of 3.8 dB at 28 GHz, a peak gain of 10 dB, and an input 1-dB compression point (IP </t>
    </r>
    <r>
      <rPr>
        <sz val="7.75"/>
        <color theme="1"/>
        <rFont val="MathJax_Main"/>
      </rPr>
      <t>1dB</t>
    </r>
    <r>
      <rPr>
        <sz val="11"/>
        <color theme="1"/>
        <rFont val="Calibri"/>
        <family val="2"/>
        <scheme val="minor"/>
      </rPr>
      <t xml:space="preserve"> ) of −8.7 dBm. LNA2 prototype, targeted for lower NF and higher gain, presents a consumption of 4.8 mW @ </t>
    </r>
    <r>
      <rPr>
        <i/>
        <sz val="13.2"/>
        <color theme="1"/>
        <rFont val="MathJax_Math"/>
      </rPr>
      <t>V</t>
    </r>
    <r>
      <rPr>
        <sz val="7.75"/>
        <color theme="1"/>
        <rFont val="MathJax_Main"/>
      </rPr>
      <t>DD</t>
    </r>
    <r>
      <rPr>
        <sz val="13.2"/>
        <color theme="1"/>
        <rFont val="MathJax_Main"/>
      </rPr>
      <t>=0.6</t>
    </r>
    <r>
      <rPr>
        <sz val="11"/>
        <color theme="1"/>
        <rFont val="Calibri"/>
        <family val="2"/>
        <scheme val="minor"/>
      </rPr>
      <t xml:space="preserve"> V, achieving a BW of 7.3 GHz (from 22.3 to 29.6 GHz), an NF at 28 GHz of 3.47 dB, a peak gain 13.9 dB, and an IP </t>
    </r>
    <r>
      <rPr>
        <sz val="7.75"/>
        <color theme="1"/>
        <rFont val="MathJax_Main"/>
      </rPr>
      <t>1dB</t>
    </r>
    <r>
      <rPr>
        <sz val="11"/>
        <color theme="1"/>
        <rFont val="Calibri"/>
        <family val="2"/>
        <scheme val="minor"/>
      </rPr>
      <t xml:space="preserve"> of −11.74 dBm. Using such a design methodology, it was possible to achieve performance improvements of more than 50% in power consumption and figure of merit (FOM) when compared to recent works.</t>
    </r>
  </si>
  <si>
    <t>https://ieeexplore.ieee.org/document/10879347</t>
  </si>
  <si>
    <t>4/2025</t>
  </si>
  <si>
    <t>Compact Bi-Directional PA-LNA Using Stacked Power Amplifier Enhancing Linearity and Stability</t>
  </si>
  <si>
    <r>
      <t xml:space="preserve">This article presents a compact Ka-band bi-directional power amplifier-low-noise amplifier (PA-LNA) utilizing a three-stack power amplifier (PA) in a 28-nm CMOS process. In the proposed PA-LNA, the input and output of the three-stack PA are cross-coupled with the output and input of the common-source (CS) low-noise amplifier (LNA). This configuration neutralizes the gate-drain capacitance of the LNA through the parasitic capacitance ( </t>
    </r>
    <r>
      <rPr>
        <i/>
        <sz val="13.2"/>
        <color theme="1"/>
        <rFont val="MathJax_Math"/>
      </rPr>
      <t>C</t>
    </r>
    <r>
      <rPr>
        <sz val="7.75"/>
        <color theme="1"/>
        <rFont val="MathJax_Main"/>
      </rPr>
      <t>para.</t>
    </r>
    <r>
      <rPr>
        <sz val="11"/>
        <color theme="1"/>
        <rFont val="Calibri"/>
        <family val="2"/>
        <scheme val="minor"/>
      </rPr>
      <t xml:space="preserve"> ) of the three-stack PA, improving stability and gain in the LNA mode. Simultaneously, the three-stack PA achieves higher output power and gain in the PA mode. Moreover, since </t>
    </r>
    <r>
      <rPr>
        <i/>
        <sz val="13.2"/>
        <color theme="1"/>
        <rFont val="MathJax_Math"/>
      </rPr>
      <t>C</t>
    </r>
    <r>
      <rPr>
        <sz val="7.75"/>
        <color theme="1"/>
        <rFont val="MathJax_Main"/>
      </rPr>
      <t>para.</t>
    </r>
    <r>
      <rPr>
        <sz val="11"/>
        <color theme="1"/>
        <rFont val="Calibri"/>
        <family val="2"/>
        <scheme val="minor"/>
      </rPr>
      <t xml:space="preserve"> of the transistors are connected in series, the transistor sizes for the PA and LNA can be selected asymmetrically, alleviating the tradeoff between linearity in the PA mode and dc power consumption in the LNA mode. Additionally, the output conductance of the off-state PA is enhanced by stacking more transistors and applying appropriate biasing to keep them in the off-state, leading to an improved noise figure (NF) in the LNA mode. Furthermore, transformer-based switching matching networks (MNs) enable fully bi-directional operation within a compact die area of 0.1 mm2. In the PA mode, the proposed PA-LNA achieves a peak gain of 20.4 dB with a 3-dB bandwidth of 8.1 GHz (27.3–35.4 GHz), a saturated output power ( </t>
    </r>
    <r>
      <rPr>
        <i/>
        <sz val="13.2"/>
        <color theme="1"/>
        <rFont val="MathJax_Math"/>
      </rPr>
      <t>P</t>
    </r>
    <r>
      <rPr>
        <sz val="7.75"/>
        <color theme="1"/>
        <rFont val="MathJax_Main"/>
      </rPr>
      <t>sat</t>
    </r>
    <r>
      <rPr>
        <sz val="11"/>
        <color theme="1"/>
        <rFont val="Calibri"/>
        <family val="2"/>
        <scheme val="minor"/>
      </rPr>
      <t xml:space="preserve"> ) of 17.4 dBm, a peak power-added-efficiency (PAE) of 17.2%, and an error vector magnitude (EVM) of −32.0 dB with 256-quadrature amplitude modulation (QAM) at an 800-MBaud symbol rate and 7.6-dBm average output power. In the LNA mode, the proposed PA-LNA achieves a peak gain of 17.3 dB with a 3-dB bandwidth of 8 GHz (28.0–36.0 GHz), a noise figure (NF) of 5.3 dB, and an input third-order intercept point (IIP3) of 0 dBm.</t>
    </r>
  </si>
  <si>
    <t>https://ieeexplore.ieee.org/document/10819642</t>
  </si>
  <si>
    <t>A 33.2–43.2-GHz 2.17-dB NF LNA Exploiting Tri-Coil Transformer-Based Gm -Boosting and Noise Suppression Technique</t>
  </si>
  <si>
    <t>Jiaming Piao; Ran Bu; Chirn Chye Boon; Zhijie Yang; Yufeng Liu; Zhe Liu</t>
  </si>
  <si>
    <r>
      <t xml:space="preserve">This article proposes a millimeter-wave (mm-wave) low-noise amplifier (LNA) with tri-coil transformer-based </t>
    </r>
    <r>
      <rPr>
        <i/>
        <sz val="13.2"/>
        <color theme="1"/>
        <rFont val="MathJax_Math"/>
      </rPr>
      <t>G</t>
    </r>
    <r>
      <rPr>
        <i/>
        <sz val="7.75"/>
        <color theme="1"/>
        <rFont val="MathJax_Math"/>
      </rPr>
      <t>m</t>
    </r>
    <r>
      <rPr>
        <sz val="11"/>
        <color theme="1"/>
        <rFont val="Calibri"/>
        <family val="2"/>
        <scheme val="minor"/>
      </rPr>
      <t xml:space="preserve"> -boosting and noise suppression technique. In the proposed work, a novel codirectional (co-dir) tri-coil transformer (TF) is utilized to enhance the transconductance ( </t>
    </r>
    <r>
      <rPr>
        <i/>
        <sz val="13.2"/>
        <color theme="1"/>
        <rFont val="MathJax_Math"/>
      </rPr>
      <t>G</t>
    </r>
    <r>
      <rPr>
        <i/>
        <sz val="7.75"/>
        <color theme="1"/>
        <rFont val="MathJax_Math"/>
      </rPr>
      <t>m</t>
    </r>
    <r>
      <rPr>
        <sz val="11"/>
        <color theme="1"/>
        <rFont val="Calibri"/>
        <family val="2"/>
        <scheme val="minor"/>
      </rPr>
      <t xml:space="preserve"> ) of the transistor and suppress transistor thermal noise. Moreover, the proposed single-ended LNA contains only one active device per stage, which introduces minimum noise. The proposed LNA provides a high gain, reduced noise figure (NF), and good linearity. Fabricated in standard 28-nm CMOS technology, the measured results show the proposed LNA exhibits a peak gain of 19.8 dB at 36.75 GHz and a 3-dB bandwidth from 33.2 to 43.2 GHz. The measured NF is 2.17–2.85 dB within the operating frequency range. The in-band input 1-dB compression point (IP </t>
    </r>
    <r>
      <rPr>
        <sz val="7.75"/>
        <color theme="1"/>
        <rFont val="MathJax_Main"/>
      </rPr>
      <t>1dB</t>
    </r>
    <r>
      <rPr>
        <sz val="11"/>
        <color theme="1"/>
        <rFont val="Calibri"/>
        <family val="2"/>
        <scheme val="minor"/>
      </rPr>
      <t xml:space="preserve"> ) is −13.6 dBm, and the input-referred third-order input intercept point (IIP3) is −3.8 dBm at 37 GHz. It consumes 14.9 mW of power from a 0.9-V supply voltage and occupies a die area of 0.27 mm2.</t>
    </r>
  </si>
  <si>
    <t>https://ieeexplore.ieee.org/document/11219004</t>
  </si>
  <si>
    <t>A Compact Wideband Simultaneous Noise and Input Matching Method Based on Three-Coil Transformer With Capacitor Assistance for LNA Design</t>
  </si>
  <si>
    <t>Chenglong Liang; Ruixin Liang; Suyuan Gan; Bingjun Tang; Zixun Gao; Qian Dong</t>
  </si>
  <si>
    <t>A method for achieving wideband simultaneous noise and input matching (SNIM) based on traditional higher order networks has been analyzed and improved through capacitor-assisted techniques. Subsequently, a new wideband SNIM approach, utilizing a three-coil transformer combined with capacitor assistance, is proposed. Without altering the conventional topological structure, the introduction of the coupling factor significantly reduced the chip area and the noise contribution from passive components, thereby lowering the overall noise figure (NF). To validate the design, a C-band two-stage current-reused low-noise amplifier (LNA) was designed with a 55-nm CMOS process. The measurement results indicate that S11 is below −10 dB across a wideband of 2.5–8.5 GHz. A power gain of 24.6 dB is achieved at 5 GHz with −3-dB bandwidth of 4.8 GHz. The noise matching discrepancy (NF-NFmin) remains 0.15 dB within the band range of 4.2–8.5 GHz, and NF maintains below 2 dB, while the power consumption is only 9.1 mW.</t>
  </si>
  <si>
    <t>https://ieeexplore.ieee.org/document/10960379</t>
  </si>
  <si>
    <t>Highly Linear Wideband Low-Noise Amplifiers for Sub-6 GHz Using Cascode and Diode-Connected Postdistortion Circuits</t>
  </si>
  <si>
    <t>Ali Bahadir Ozdol; Tahsin Alper Ozkan; Hüseyin Kaya; Mehmet Emre Cakir; Ilker Kalyoncu; Yasar Gurbuz</t>
  </si>
  <si>
    <t>This article presents two types of postdistortion (PD) circuits—diode-connected PD (DCPD) and cascode PD (CPD)—positioned subsequent to low noise amplifiers (LNAs) operating in the 2.2–5-GHz frequency range. Each LNA with PD design, performance, and comparison is based on a core two-stage cascode topology, using identical transistor dimensions and bias voltages. The purpose of this study was to compare the linearity performance and linearity bandwidth of DCPD and CPD and achieve optimum performance in gain, noise figure (NF), bandwidth, and linearity simultaneously. The auxiliary circuits were designed to cancel third-order nonlinearities, thereby improving the third-order input intercept point (IIP3). Both LNAs achieved a gain of 30.5 dB, an NF of 0.85 dB, and an output power of 14 dBm at 1-dB compression at a center frequency of 3.5 GHz with a power consumption of 240 mW. The auxiliary circuits used in the LNA design showed varying IIP3 based on the type of PD circuit employed. The CPD circuit demonstrated a linearity improvement at the center frequency, achieving an IIP3 of 1.5 dBm. On the other hand, the DCPD circuit delivers an IIP3 of 10 dBm, one of the highest values reported in current state-of-the-art designs. In addition, a low-power mode of operation is measured with a power consumption of 68 mW for both LNAs. In this mode, the CPD circuit achieves an IIP3 of 5 dBm at 4.5 GHz, while the DCPD circuit demonstrates an IIP3 of 3 dBm across the 4–4.5-GHz range.</t>
  </si>
  <si>
    <t>https://ieeexplore.ieee.org/document/10975064</t>
  </si>
  <si>
    <t>A Fully Integrated 5–7-GHz Wi-Fi 7 FEM With a Gain-Noise Optimized LNA and a Parasitic-Absorbing T/R Interface</t>
  </si>
  <si>
    <t>Pengfei Li; Yudan Zhang; Jiaming Zhao; Nengxu Zhu; Hao Shi; Fanyi Meng</t>
  </si>
  <si>
    <t>This article presents a fully integrated Wi-Fi 7front-end module (FEM) in a 0.25- μ m GaAs p-HEMT process, featuring wideband operation, high efficiency, and a highly compact design. To address the stringent system requirements of Wi-Fi 7, this work introduces innovative circuit and co-design techniques. A novel feedforward capacitor structure (FCS) in the LNA enables simultaneous optimization of gain bandwidth and noise figure (NF) in a single-stage topology. Furthermore, the T/R interface is co-designed with an absorptive ESD protection scheme, utilizing a Y– Δ transformation to absorb parasitic capacitance, which is critical for achieving a highly compact layout. The transmitter leverages a power-efficient PA with dynamic biasing to enhance back-off efficiency. Measurements of the 1.53-mm2 chip demonstrate an RX gain of 11.9–14.9 dB with a 1.65–2.3-dB NF. The transmitter delivers 25–29 dBm of output power with a peak PAE of 37% and meets the −43-dB EVM requirement for 4096-QAM signals under DPD. This work presents a viable path toward highly integrated, high-performance, and cost-effective FEMs for Wi-Fi 7 applications.</t>
  </si>
  <si>
    <t>https://ieeexplore.ieee.org/document/11230823</t>
  </si>
  <si>
    <t>A 0.5–44-GHz LNA With 23-dB Peak Gain and 3-dB Average NF in 28-nm CMOS Technology</t>
  </si>
  <si>
    <t>Jian Hua Jiang; Li Gao; Xiu Yin Zhang</t>
  </si>
  <si>
    <r>
      <t xml:space="preserve">A 0.5–44-GHz ultrawideband (UWB) low-noise amplifier (LNA) with 3.6-dB maximum noise figure (NF) is presented in this article. The LNA employs three-stage amplification structure, with inverter-based amplifiers as the first and third stages, and a cascode amplifier as the second stage. In order to achieve both wideband impedance matching and noise matching simultaneously, a </t>
    </r>
    <r>
      <rPr>
        <i/>
        <sz val="13.2"/>
        <color theme="1"/>
        <rFont val="MathJax_Math"/>
      </rPr>
      <t>G</t>
    </r>
    <r>
      <rPr>
        <sz val="7.75"/>
        <color theme="1"/>
        <rFont val="MathJax_Main"/>
      </rPr>
      <t>m</t>
    </r>
    <r>
      <rPr>
        <sz val="11"/>
        <color theme="1"/>
        <rFont val="Calibri"/>
        <family val="2"/>
        <scheme val="minor"/>
      </rPr>
      <t xml:space="preserve"> -boost resistive feedback structure and a multistage input matching configuration are utilized. To mitigate the effect of parasitic capacitances on gain in the millimeter-wave frequency band, several inductive gain-boost configurations are adopted. To verify the proposed design, the LNA is implemented in TSMC 28-nm CMOS process with 0.14-mm2 core size. The measured result shows that the proposed LNA achieves 3-dB bandwidth of 0.5–44 GHz with a maximum gain of 23 dB with 20.5-mW dc power consumption. The measured NF is 2.5–3.6 dB, and the minimum </t>
    </r>
    <r>
      <rPr>
        <i/>
        <sz val="13.2"/>
        <color theme="1"/>
        <rFont val="MathJax_Math"/>
      </rPr>
      <t>K</t>
    </r>
    <r>
      <rPr>
        <sz val="11"/>
        <color theme="1"/>
        <rFont val="Calibri"/>
        <family val="2"/>
        <scheme val="minor"/>
      </rPr>
      <t xml:space="preserve"> -factor is 3.7. The output 1-dB compression point (OP1 dB) is −4 to 0 dBm while the input third-order intercept point (IIP3) is −18.7 to −12 dBm. In summary, this design realized a comprehensive outstanding performance with a simple structure.</t>
    </r>
  </si>
  <si>
    <t>https://ieeexplore.ieee.org/document/11185277</t>
  </si>
  <si>
    <t>A 50–70.9-GHz LNA With Configured Coupled Transformer Achieving Sub-4 dB NF and 298.6-GHz GBW for 5GNR-FR2-2 and SATCOM</t>
  </si>
  <si>
    <t>Aoran Han; Deshan Tang; Xun Luo</t>
  </si>
  <si>
    <r>
      <t xml:space="preserve">This article presents a 50–70.9-GHz low-noise amplifier (LNA) with a configured coupled transformer (CCT). Millimeter-wave (mm-wave) signals at the gate and source are out of phase due to the opposite coupling polarities of the input-to-gate and input-to-source, thereby enabling </t>
    </r>
    <r>
      <rPr>
        <i/>
        <sz val="13.2"/>
        <color theme="1"/>
        <rFont val="MathJax_Math"/>
      </rPr>
      <t>g</t>
    </r>
    <r>
      <rPr>
        <i/>
        <sz val="7.75"/>
        <color theme="1"/>
        <rFont val="MathJax_Math"/>
      </rPr>
      <t>m</t>
    </r>
    <r>
      <rPr>
        <sz val="11"/>
        <color theme="1"/>
        <rFont val="Calibri"/>
        <family val="2"/>
        <scheme val="minor"/>
      </rPr>
      <t xml:space="preserve"> -boosting. Meanwhile, the thermal noise of the first-stage MOS is fed back inversely from the source to the gate, achieving noise self-reduction. According to theoretical analysis, under the above conditions, source-to-gate coupling weakens the </t>
    </r>
    <r>
      <rPr>
        <i/>
        <sz val="13.2"/>
        <color theme="1"/>
        <rFont val="MathJax_Math"/>
      </rPr>
      <t>g</t>
    </r>
    <r>
      <rPr>
        <i/>
        <sz val="7.75"/>
        <color theme="1"/>
        <rFont val="MathJax_Math"/>
      </rPr>
      <t>m</t>
    </r>
    <r>
      <rPr>
        <sz val="11"/>
        <color theme="1"/>
        <rFont val="Calibri"/>
        <family val="2"/>
        <scheme val="minor"/>
      </rPr>
      <t xml:space="preserve"> -boosting and noise-reduction effects. Hence, the CCT structure is proposed to employ coupling cancellation, minimizing this specific coupling in a three-winding transformer. The source-to-gate coupling in the input CCT network is suppressed to achieve wideband simultaneous noise and input matching. Furthermore, neutralized </t>
    </r>
    <r>
      <rPr>
        <sz val="13.2"/>
        <color theme="1"/>
        <rFont val="MathJax_Main"/>
      </rPr>
      <t>G</t>
    </r>
    <r>
      <rPr>
        <i/>
        <sz val="7.75"/>
        <color theme="1"/>
        <rFont val="MathJax_Math"/>
      </rPr>
      <t>m</t>
    </r>
    <r>
      <rPr>
        <sz val="11"/>
        <color theme="1"/>
        <rFont val="Calibri"/>
        <family val="2"/>
        <scheme val="minor"/>
      </rPr>
      <t xml:space="preserve"> cells and fourth transformer-based magnetically coupled resonators (MCRs) are utilized to provide high gain, good stability, and wideband interstage matching. Verified in a conventional 40-nm bulk CMOS process, the proposed LNA achieves 3.5 dB minimum NF and 298.6-GHz gain-bandwidth (GBW), while consuming 33 mW. The input-matching range covers 47–73.4 GHz. The input P1dB ( </t>
    </r>
    <r>
      <rPr>
        <sz val="13.2"/>
        <color theme="1"/>
        <rFont val="MathJax_Main"/>
      </rPr>
      <t>IP</t>
    </r>
    <r>
      <rPr>
        <sz val="7.75"/>
        <color theme="1"/>
        <rFont val="MathJax_Main"/>
      </rPr>
      <t>1 dB</t>
    </r>
    <r>
      <rPr>
        <sz val="11"/>
        <color theme="1"/>
        <rFont val="Calibri"/>
        <family val="2"/>
        <scheme val="minor"/>
      </rPr>
      <t xml:space="preserve"> ) is measured as −11.8 to −17.5 dBm in the 50–72-GHz frequency range. The proposed LNA supports a 4 Gb/s 256-QAM modulation signal with −30.8-dB error vector magnitude (EVM) at 59 GHz. Benefiting from the CCT, the proposed LNA demonstrates the highest figure of merit (FoM) compared to state-of-the-art mm-wave LNAs.</t>
    </r>
  </si>
  <si>
    <t>https://ieeexplore.ieee.org/document/11192787</t>
  </si>
  <si>
    <t>11/2025</t>
  </si>
  <si>
    <t>A Compact High-Gain D-Band LNA With Lossy Gain-Boosting Core Based on Slow-Wave Feedback</t>
  </si>
  <si>
    <t>Yun Qian; Yizhu Shen; Yifan Ding; Xinge Huang; Sanming Hu</t>
  </si>
  <si>
    <r>
      <t xml:space="preserve">This article presents a CMOS D-band low-noise amplifier (LNA) employing a lossy gain-boosting core with slow-wave feedback. By accounting for the practical losses of the embedding elements, the proposed lossy gain-boosting core achieves a more reliable and precise maximum available gain ( </t>
    </r>
    <r>
      <rPr>
        <i/>
        <sz val="13.2"/>
        <color theme="1"/>
        <rFont val="MathJax_Math"/>
      </rPr>
      <t>G</t>
    </r>
    <r>
      <rPr>
        <sz val="7.75"/>
        <color theme="1"/>
        <rFont val="MathJax_Main"/>
      </rPr>
      <t>ma</t>
    </r>
    <r>
      <rPr>
        <sz val="11"/>
        <color theme="1"/>
        <rFont val="Calibri"/>
        <family val="2"/>
        <scheme val="minor"/>
      </rPr>
      <t xml:space="preserve"> ) than ideal lossless models. Each common-source (CS) stage effectively leverages the gain-boosting core for promoting </t>
    </r>
    <r>
      <rPr>
        <i/>
        <sz val="13.2"/>
        <color theme="1"/>
        <rFont val="MathJax_Math"/>
      </rPr>
      <t>G</t>
    </r>
    <r>
      <rPr>
        <sz val="7.75"/>
        <color theme="1"/>
        <rFont val="MathJax_Main"/>
      </rPr>
      <t>ma</t>
    </r>
    <r>
      <rPr>
        <sz val="11"/>
        <color theme="1"/>
        <rFont val="Calibri"/>
        <family val="2"/>
        <scheme val="minor"/>
      </rPr>
      <t xml:space="preserve"> while maintaining the unconditional stability of the LNA. Depending on the analysis of two noisy networks in parallel, the gain-boosting core also facilitates simultaneous noise and input matching. Through an in-depth discussion on the impact of the Q-factors of the embedding elements, slow-wave feedback featuring low loss and high characteristic impedance is applied to further promote gain and noise with a compact footprint. To demonstrate the feasibility of the proposed configuration, a three-stage LNA is implemented in a 40-nm bulk CMOS and measured. The fabricated LNA achieves a measured power gain of 18.4 dB, and a minimum in-band noise figure (NF) of 6.1 dB. In addition, the proposed LNA consumes only 17.1 mW of power and occupies a compact core area of 0.057 mm2.</t>
    </r>
  </si>
  <si>
    <t>https://ieeexplore.ieee.org/document/10783452</t>
  </si>
  <si>
    <t>A W-Band Low-Noise Amplifier With Resistor-Configured Temperature-Adaptive Biasing Achieving &lt;1-dB Gain Fluctuation From −55 °C to 125 °C</t>
  </si>
  <si>
    <t>Zenglong Zhao; Xianghui Chen; Fanyi Meng; Nengxu Zhu; Zhifu Hu; Meilin He</t>
  </si>
  <si>
    <r>
      <t xml:space="preserve">This article presents a W-band low-noise amplifier (LNA) employing a resistor-configured temperature-adaptive biasing technique (RC-TABT), which ensures minimal gain fluctuation across a wide temperature range without requiring any external temperature sensing or digital calibration. An internal bias circuit, utilizing positive temperature-dependent transconductance (PTD- </t>
    </r>
    <r>
      <rPr>
        <i/>
        <sz val="13.2"/>
        <color theme="1"/>
        <rFont val="MathJax_Math"/>
      </rPr>
      <t>g</t>
    </r>
    <r>
      <rPr>
        <sz val="7.75"/>
        <color theme="1"/>
        <rFont val="MathJax_Main"/>
      </rPr>
      <t>m</t>
    </r>
    <r>
      <rPr>
        <sz val="11"/>
        <color theme="1"/>
        <rFont val="Calibri"/>
        <family val="2"/>
        <scheme val="minor"/>
      </rPr>
      <t xml:space="preserve"> ), is introduced to enhance the temperature stability of the LNA gain. By strategically combining resistors with different temperature coefficients (TCs), the circuit shapes the temperature response of the bias voltage, effectively mitigating temperature-induced gain variations. To evaluate the performance of the proposed method, a W-band LNA is fabricated using the IHP SG13G2 130-nm SiGe BiCMOS technology. Measurement results show that the LNA’s gain variation remains below 1 dB across the ultrawide temperature range of </t>
    </r>
    <r>
      <rPr>
        <sz val="13.2"/>
        <color theme="1"/>
        <rFont val="MathJax_Main"/>
      </rPr>
      <t>−55 </t>
    </r>
    <r>
      <rPr>
        <sz val="7.75"/>
        <color theme="1"/>
        <rFont val="MathJax_Main"/>
      </rPr>
      <t>∘</t>
    </r>
    <r>
      <rPr>
        <sz val="11"/>
        <color theme="1"/>
        <rFont val="Calibri"/>
        <family val="2"/>
        <scheme val="minor"/>
      </rPr>
      <t xml:space="preserve"> C to </t>
    </r>
    <r>
      <rPr>
        <sz val="13.2"/>
        <color theme="1"/>
        <rFont val="MathJax_Main"/>
      </rPr>
      <t>125 </t>
    </r>
    <r>
      <rPr>
        <sz val="7.75"/>
        <color theme="1"/>
        <rFont val="MathJax_Main"/>
      </rPr>
      <t>∘</t>
    </r>
    <r>
      <rPr>
        <sz val="11"/>
        <color theme="1"/>
        <rFont val="Calibri"/>
        <family val="2"/>
        <scheme val="minor"/>
      </rPr>
      <t xml:space="preserve"> C, with a corresponding gain TC of 0.0056 dB/°C, significantly outperforming the 3-dB gain variation without the RC-TABT method. Under nominal operating conditions, the proposed LNA exhibits a peak gain of 12.46 dB, an average noise figure (NF) of 4.7 dB, and an output 1-dB compression point power (OP1dB) of 5.92 dBm. The LNA consumes 8.6 mW of power from a 3.3-V supply and occupies a compact core area of only 0.044 mm2, with a RC-TABT unit occupying 0.0024 mm2.</t>
    </r>
  </si>
  <si>
    <t>https://ieeexplore.ieee.org/document/11168907</t>
  </si>
  <si>
    <t>A 3-to-78-GHz Distributed Low-Noise Amplifier Incorporating High-Gain Differential gm Cells and Balanced Active Balun in a 65-nm CMOS</t>
  </si>
  <si>
    <t>Jincheng Zhang; Tianxiang Wu; Lihe Nie; Yong Chen; Junyan Ren; Shunli Ma</t>
  </si>
  <si>
    <t>This article reports an ultrawide CMOS distributed low-noise amplifier (LNA) for ultrahigh-speed communications. The proposed LNA consists of a front single-end-to-differential distributed active balun and a subsequent differential distributed amplifier (DA). Various forms of parasitic capacitance that can degrade the high-frequency performance are carefully counteracted in this scheme. The distributed active balun is based on a cascode-cascade topology with full-band mismatch compensation techniques. The differential DA is built using a neutralized cascode amplifier, merged with inductive peaking and capacitive bootstrapping. Thanks to the use of these techniques, our scheme simultaneously achieves good results in terms of gain, noise figure (NF), and balance over an ultrawide bandwidth. The LNA prototype is designed in a 65-nm CMOS technology with an area of 1.9×0.7 mm2. The LNA scores a 13.7–16.9-dB gain from 3 to 78 GHz while integrating all supply networks. The measured group delay is 45–91 ps over 3–78 GHz, and the NF is 5.5–7.8 dB up to 50 GHz. The differential outputs show a good balance of &lt;0.37-dB gain error and &lt;3.8° phase error over the full bandwidth. The chip core consumes a 72-mA current from a 1.2-V supply, and the total power consumption of the chip is 170.4 mW including the consumption on the 50- Ω load resistors.</t>
  </si>
  <si>
    <t>https://ieeexplore.ieee.org/document/10807069</t>
  </si>
  <si>
    <t>https://ieeexplore.ieee.org/document/11099050</t>
  </si>
  <si>
    <t>129–145-GHz Low-Noise Amplifier Waveguide Module With Low-Loss Chip-to-Waveguide Transition for CMOS Technologies</t>
  </si>
  <si>
    <t>Kyeonghun Choe; Minwoo Kim; Gunwoo Park; Eunjung Kim; Yongkuk Shin; Sanggeun Jeon</t>
  </si>
  <si>
    <r>
      <t xml:space="preserve">This article presents a waveguide module for a CMOS low-noise amplifier (LNA) chip operating at D-band frequencies. A wideband, low-loss chip-to-waveguide transition is proposed to package bulk CMOS chips into waveguide modules. To reduce the high loss associated with the silicon substrate, the substrate is back-grinded to a thickness of </t>
    </r>
    <r>
      <rPr>
        <sz val="13.2"/>
        <color theme="1"/>
        <rFont val="MathJax_Main"/>
      </rPr>
      <t>37 </t>
    </r>
    <r>
      <rPr>
        <i/>
        <sz val="13.2"/>
        <color theme="1"/>
        <rFont val="MathJax_Math"/>
      </rPr>
      <t>μ</t>
    </r>
    <r>
      <rPr>
        <sz val="11"/>
        <color theme="1"/>
        <rFont val="Calibri"/>
        <family val="2"/>
        <scheme val="minor"/>
      </rPr>
      <t xml:space="preserve"> m using a commercially available, low-cost process. The back-grinded chip, which integrates on-chip dipole antennas for the transition, is mounted into a standard WR-6.5 waveguide. The measured insertion loss per transition is </t>
    </r>
    <r>
      <rPr>
        <sz val="13.2"/>
        <color theme="1"/>
        <rFont val="MathJax_Main"/>
      </rPr>
      <t>2.0 ± 0.6</t>
    </r>
    <r>
      <rPr>
        <sz val="11"/>
        <color theme="1"/>
        <rFont val="Calibri"/>
        <family val="2"/>
        <scheme val="minor"/>
      </rPr>
      <t xml:space="preserve"> dB from 110 to 170 GHz, covering the full D-band frequencies. The proposed chip-to-waveguide transition is applied to a D-band LNA chip fabricated using a bulk 28-nm CMOS process. The resulting LNA waveguide module achieves a peak gain of 13.1 dB at 138.5 GHz, with a 3-dB bandwidth of 16.1 GHz spanning from 129.3 to 145.4 GHz. The measured noise figure (NF) ranges from 9.3 to 10.9 dB within the 129–135-GHz frequency range. The input 1-dB compression point ( </t>
    </r>
    <r>
      <rPr>
        <sz val="13.2"/>
        <color theme="1"/>
        <rFont val="MathJax_Main"/>
      </rPr>
      <t>IP</t>
    </r>
    <r>
      <rPr>
        <sz val="7.75"/>
        <color theme="1"/>
        <rFont val="MathJax_Main"/>
      </rPr>
      <t>1 dB</t>
    </r>
    <r>
      <rPr>
        <sz val="11"/>
        <color theme="1"/>
        <rFont val="Calibri"/>
        <family val="2"/>
        <scheme val="minor"/>
      </rPr>
      <t xml:space="preserve"> ) varies between −14.7 and −12.3 dBm across the 130–144 GHz range. This work demonstrates a promising, low-cost waveguide packaging solution for subterahertz (sub-THz) CMOS chips.</t>
    </r>
  </si>
  <si>
    <t>A 28/39 GHz Concurrent/Band-Switching LNA With Three-Winding Transformer and Common-Gate-Based Multiplexer Supporting Multistream and Multiband 5G FR2 Communication</t>
  </si>
  <si>
    <t>Depeng Cheng; Xuwei Li; Xuhao Jiang; Qin Chen; Xin Chen; Xujun Ma</t>
  </si>
  <si>
    <r>
      <t xml:space="preserve">In this article, a 28/39 GHz band reconfigurable low noise amplifier (LNA) is designed with concurrent and band-switching operation modes, aiming to flexibly support multiband and multistream 5G FR2 communication. For facilitating integration with a multiband antenna, the LNA first-stage leverages an ultra-compact three-winding transformer (TF) coupling technique, enabling relatively high power gain and low noise figure (NF) across both 28 and 39 GHz bands. Moreover, we adopt a </t>
    </r>
    <r>
      <rPr>
        <i/>
        <sz val="13.2"/>
        <color theme="1"/>
        <rFont val="MathJax_Math"/>
      </rPr>
      <t>π</t>
    </r>
    <r>
      <rPr>
        <sz val="11"/>
        <color theme="1"/>
        <rFont val="Calibri"/>
        <family val="2"/>
        <scheme val="minor"/>
      </rPr>
      <t xml:space="preserve"> -model of the three-winding transformer to decompose the complex optimization problem into passive network matching and active cell improvement, bringing in more intuitive and rigorous design insights and guidance. In the following stage, a band-multiplexer is implemented using two switchable parallel </t>
    </r>
    <r>
      <rPr>
        <i/>
        <sz val="13.2"/>
        <color theme="1"/>
        <rFont val="MathJax_Math"/>
      </rPr>
      <t>g</t>
    </r>
    <r>
      <rPr>
        <i/>
        <sz val="7.75"/>
        <color theme="1"/>
        <rFont val="MathJax_Math"/>
      </rPr>
      <t>m</t>
    </r>
    <r>
      <rPr>
        <sz val="11"/>
        <color theme="1"/>
        <rFont val="Calibri"/>
        <family val="2"/>
        <scheme val="minor"/>
      </rPr>
      <t xml:space="preserve"> -boosting common-gate (CG) amplifiers, which separate the wideband signals into frequency division signal paths, thereby supporting concurrent and band-switching modes. Moreover, the LNA output stages in separated paths can be independently optimized, meeting each sub-band specific requirements. Fabricated in a 65-nm CMOS process, the LNA occupies a compact core area of 0.1 mm2. In the band-switching mode, it achieves 26.3/25.5 dB peak gain, 3-dB bandwidth of 21.8–30.3 GHz/32.6–45.1 GHz, 3.6/3.8 dB minimum NF, −18.5/−16.4 dBm third-order intercept point (IIP3), more than 10.3/15.7 dB out-of-band rejection for 28/39 GHz band, respectively, and consumes 19.2 mW with a 1.2 V power supply. In the concurrent mode, the LNA achieves 22.9/23 dB peak gain, 4.97/4.9 dB minimum NF, −14.7/−12.4 dBm IIP3, more than 10/11 dB out-of-band rejection for 28/39 GHz band, and a power consumption of 38.4 mW.</t>
    </r>
  </si>
  <si>
    <t>https://ieeexplore.ieee.org/document/10870478</t>
  </si>
  <si>
    <t>A 460-GHz Receiver Using Second-Order Subharmonic Mixer in 65-nm CMOS</t>
  </si>
  <si>
    <t>Hao Guo; Kaizhe Guo; Zhicheng Lin; Kam Man Shum; Ka Fai Chan; Chi Hou Chan</t>
  </si>
  <si>
    <t>https://ieeexplore.ieee.org/document/10716250</t>
  </si>
  <si>
    <t>Design Insights Into Sixth-Order Matching Networks for a 105–175-GHz Ultra-Wideband SiGe BiCMOS LNA</t>
  </si>
  <si>
    <t>This article presents a systematic methodology for designing ultra-wideband 6th-order matching networks, tailored for D-band low-noise amplifiers (LNAs) in SiGe BiCMOS technology. The adopted topology fully absorbs parasitics while embedding signal interconnections, biasing, and power routing. By modeling the network as a doubly tuned transformer and leveraging embedded resonances, impedance transformation and bandwidth expansion are effectively controlled. The analysis uses network decomposition and simplifications that preserve design intuition while ensuring accurate performance predictions. A step-by-step design example illustrates the methodology, guiding key component choices and demonstrating its practical application. The approach is validated through a three-stage D-band LNA, achieving a −3-dB bandwidth from 105 to 175 GHz, a peak gain of 23 dB, and a noise figure (NF) of 5–6.5 dB. Measurements confirm that the performance is also maintained with the LNA mounted into an eWLB package interfaced with waveguides. Experimental results compare favorably against previous works and prove the effectiveness of the proposed design flow to maximize the gain–bandwidth performance.</t>
  </si>
  <si>
    <t>https://ieeexplore.ieee.org/document/11127012</t>
  </si>
  <si>
    <t>03/2025</t>
  </si>
  <si>
    <t>A 1–21-GHz, 1.95–3.1-dB NF Ultra-Wideband LNA With Gₘ-Assisted-Feedback Noise Suppression Achieving 140-Gb/s Data Rate in 40-nm CMOS</t>
  </si>
  <si>
    <t>09/2025</t>
  </si>
  <si>
    <t>Sicheng Han; Yun Wang; Yunhao Li; Wen Zuo; Wei Li; Yun Yin</t>
  </si>
  <si>
    <t>This article presents an ultra-wideband (UWB) low noise amplifier (LNA) with gm -assisted-feedback noise suppression technique for multi-band wireless communication. Compared with the traditional resistive feedback (RF) and source-follower feedback wideband LNAs, the proposed LNA blocks the noise current from the feedback resistor with a simple additional gm -cell, thus alleviating the S11 -NF design tradeoff in the traditional structures. A source coupling transformer is also utilized to create gm -boosting and maintain a wideband flat gain. Fabricated in a 40-nm bulk CMOS process, the LNA prototype achieves a measured operating bandwidth (BW) of 1–21 GHz, measured NF of 1.95–3.1 dB, and S21 of 20.6–22.4 dB, while consuming 21.6 mA from a 1.2-V power supply. It also supports UWB modulation signals with a data rate of 140 Gb/s. The proposed LNA reports the lowest NF among the recently reported bulk CMOS UWB LNAs.</t>
  </si>
  <si>
    <t>https://ieeexplore.ieee.org/document/10856899</t>
  </si>
  <si>
    <t>07/2025</t>
  </si>
  <si>
    <t>An Inductive Loading Simultaneous Noise and Input Matching Technique With Current Reuse for Low-Power LNA</t>
  </si>
  <si>
    <t>Phuoc B. T. Huynh; Gyeong-Seok Lee; Jun-Young Park; Tae-Yeoul Yun</t>
  </si>
  <si>
    <t>This article presents an inductive loading simultaneous noise and input matching (ILSNIM) technique for a low-power low-noise amplifier (LNA). In contrast to conventional simultaneous noise and input matching (SNIM) methods, where lossy resistance associated with an on-chip low-Q gate inductor substantially degrades the total noise figure (NF) performance, the input stage of the proposed LNA exploits the gate-drain capacitance feedback incorporated with inductive loading for the first time to construct the input impedance network. This design approach overcomes the NF limitation in conventional SNIM techniques by eliminating the lossy gate inductor while boosting the transconductance to achieve SNIM under low power consumption. Furthermore, a current-reuse structure with a cascaded stage is applied not only to enhance the overall gain but also to generate a noiseless resistive component that addresses the instability issue without adverse impacts on other performances. Fabricated using a 0.11- μ m complementary metal-oxide-semiconductor (CMOS) process, the proposed ILSNIM LNA demonstrates a gain of 13.6 dB, an NF of 2.8 dB, and a third-order input intercept point (IIP3) of -5.2 dBm at 6.8 GHz under a 1.2-mW power dissipation from a 1-V supply.</t>
  </si>
  <si>
    <t>https://ieeexplore.ieee.org/document/10787398</t>
  </si>
  <si>
    <t>Design and Analysis of a 22.6-to-73.9 GHz Low-Noise Amplifier for 5G NR FR2 and NR-U Multiband/Multistandard Communications</t>
  </si>
  <si>
    <t>Zenglong Zhao; Xianghui Chen; Fanyi Meng; Zhen Yang; Bing Liu; Nengxu Zhu</t>
  </si>
  <si>
    <t>This article presents the analysis and design of a 22.6-to-73.9 GHz ultra-wideband low-noise amplifier (LNA) with flat in-band power gain for millimeter-wave applications, supporting all allocated fifth-generation new radio (5G NR) frequency range 2 (FR2) bands at 24/28/39/47 GHz, as well as the potential 5G NR-U bands within the unlicensed 57–71 GHz spectrum. The proposed LNA consists of two amplifier stages and achieves ultra-wideband performance by utilizing various bandwidth extension techniques. It introduces a synergistic equalization technique that integrates shunt feedback and dual inductive peaking for design harmony of optimized bandwidth, noise reduction, and stability compared to reported methods. Additionally, a resonant feedback compensation equalization (RFCE) technique is presented to mitigate high-frequency gain roll-off, enhance gain flatness, and further expand the operation bandwidth. The principles of gain, bandwidth, and noise improvement are analyzed theoretically. To validate the proposed techniques, an LNA is designed and fabricated utilizing the IHP SG13G2 0.13- μ m silicon-germanium (SiGe) technology, featuring peak fT/fMAX of 350/450 GHz. The measurement results indicate significantly enhanced gain flatness, extended bandwidth, and improved noise figure (NF). Specifically, the proposed amplifier shows a 15.2 dB peak gain, −7.4 to −2.8 dBm output in 1-dB compression point power (OP1dB), and 4.06–4.94 dB NF in a 3-dB bandwidth from 22.6 to 73.9 GHz. The circuit occupies a compact core area of 0.06 mm2 and consumes 17.5 mW power consumption from a 1.2 V supply.</t>
  </si>
  <si>
    <t>https://ieeexplore.ieee.org/document/10909504</t>
  </si>
  <si>
    <t>10/2025</t>
  </si>
  <si>
    <t>https://ieeexplore.ieee.org/document/10964135</t>
  </si>
  <si>
    <t>Wideband High-Gain Amplifiers in 45-nm CMOS SOI Operating at 0.56fmax: An Analytical Approach on Reversed Feedback Amplifiers</t>
  </si>
  <si>
    <t>Saleh Hassanzadehyamchi; Amirreza Alizadeh; Omeed Momeni; Ali M. Niknejad</t>
  </si>
  <si>
    <t>This article presents a novel feedback amplifier (FBA) architecture to realize sub-terahertz, high-gain, wideband amplifiers. The proposed topology employs a gain-boosting technique in each amplifier cell to increase the gain of a multistage amplifier over a broad bandwidth (BW) when cascaded with a conventional FBA (CFBA). The amplifier cell provides a close-to- Gmax gain even when passive losses are present. The multistage amplifier topology is compact and does not need inter-stage matching networks (ISMNs) between its internal cells. Two proof-of-concept G-band amplifiers were implemented in a 45-nm CMOS silicon-on-insulator (SOI) process to verify the feasibility of the proposed architecture. These prototypes achieve peak gains of 14 and 20.4 dB, peak saturated output powers of 6 and 6.1 dBm, power-added efficiencies (PAEs) of 3.8% and 3.7%, and minimum noise figures (NFs) of 6.2 dB over 156–193.8 and 157.4–194.2 GHz, respectively. To the best of the authors’ knowledge, the presented amplifiers in this work obtain the highest BW among the CMOS amplifiers operating at near- fmax .</t>
  </si>
  <si>
    <t>A Multi-Band 5.3–18 GHz LNA for FR3 Bands Using Hybrid Switching With Sub-2 dB NF in FDSOI</t>
  </si>
  <si>
    <t>Ahmed Afifi; Gabriel M. Rebeiz</t>
  </si>
  <si>
    <t>This article presents a multi-band 5.3–18-GHz low-noise amplifier (LNA) for 6G applications in GlobalFoundries 22FDX technology. The LNA consists of two stages employing tunable LC inter-stage and output matching networks. Using this technique, a sub-2 dB noise figure (NF) across three bands of operation is achieved. The measured results show three different frequency range 3 (FR3) bands with 3 dB bandwidths of 5.3–9.4 GHz, 8.3–13 GHz, and 11.5–18 GHz with a NF of 1.6–1.8 dB, 1.6–1.8 dB, and 1.8–2.2 dB, respectively. The LNA also operates in a wide-band mode with a bandwidth of 6.6–16.3 GHz and a NF of 2.4–3.2 dB. The LNA achieves an IP1dB of −18 to −22dBm, and an IIP3 of −8.7 to −12.7 dBm for the three bands, and consumes 20 mW from a 1 V supply. The multi-band LNA also shows fourth-order filtering characteristics, which greatly relaxes the requirements of external filters. Results are compared to prior work and show state-of-the-art performance.</t>
  </si>
  <si>
    <t>https://ieeexplore.ieee.org/document/11008556</t>
  </si>
  <si>
    <t>https://ieeexplore.ieee.org/document/10781311</t>
  </si>
  <si>
    <t>Design and Implementation of a D-Band Bidirectional Common-Gate Amplifier in 45-nm RFSOI</t>
  </si>
  <si>
    <t>Syed Mohammad Ashab Uddin; Wooram Lee</t>
  </si>
  <si>
    <t>This article presents a new design methodology for a D-band bidirectional amplifier that leverages the inherent symmetry of CMOS transistors in a common-gate amplifier. The proposed design exploits symmetric passive networks that achieve interstage conjugate matching conditions in forward and reverse amplifications while minimizing the switching loss in support of bidirectional amplification. A current-reuse technique is proposed to reduce power consumption by sharing the supply current between the adjacent amplifier stages. Two prototype D-band bidirectional amplifiers have been implemented using a 45-nm RFSOI process: transformer and transmission line-based amplifiers. The 103–123-GHz transformer-based amplifier reports measured peak gains of 9 and 7.5 dB in forward and reverse amplifications with a 3-dB bandwidth of 20 GHz, an average noise figure (NF) of 6.3 dB, and a DC power consumption of 25.5 mW. The 124–145-GHz transmission line-based amplifier reports a measured peak gain of 14 dB, a 3-dB bandwidth of 21 GHz, and an average NF of 7 dB with a DC power consumption of 28.5 mW.</t>
  </si>
  <si>
    <t>16/02/2025</t>
  </si>
  <si>
    <t>A Blocker-Tolerant mm-Wave Low-Noise Amplifier Utilizing Doherty Active Load Modulation for Linearity Enhancement</t>
  </si>
  <si>
    <t>Hao Yu; Lianbo Liu; Sensen Li</t>
  </si>
  <si>
    <t>Conventionally, the linearity of receivers (RXs) or low-noise amplifiers (LNAs) has not been a primary design focus, as they are generally optimized for handling weak input signals. However, emerging applications such as massive MIMO (Multiple Input Multiple Output) and automotive radar demand high-linearity RX/LNAs, as each receiving path must manage multiple signals concurrently or detect weak signals in the presence of strong interferers. This shift necessitates RX/LNA designs with superior linearity to preserve signal integrity [1]. Moreover, future mm-wave wireless links are expected to operate in complex and dynamic electromagnetic (EM) environments-such as SATCOM-on-the-Move, drones equipped with mm-wave links, and high-definition wireless AR/VR devices-where they will face unknown strong interferences with varying angles of arrival (AoA), frequencies, and modulation schemes [2]–[5]. These conditions impose even stricter linearity requirements on RX/LNA designs.</t>
  </si>
  <si>
    <t>https://ieeexplore.ieee.org/document/10904630</t>
  </si>
  <si>
    <t>06/2025</t>
  </si>
  <si>
    <t>An 8-12.2GHz CMOS Low-Noise Amplifier with Partially Tail-Coupled Transformer and Large-Transistor Achieving 1.8 dB Average NF</t>
  </si>
  <si>
    <t>Min-Seok Baek; Jae-Hyeok Song; Jae-Eun Lee; Jong-Seong Park; Ilhun Kim; Jeong-Taek Lim</t>
  </si>
  <si>
    <t>This paper presents an 8−12.2GHz low-noise amplifier (LNA) featuring a partially tail-coupled transformer and a large-transistor design to enhance noise and gain performance. The proposed partially tail-coupled transformer and large-transistor technique provides wideband input matching and a low noise figure (NF) without requiring a gate-series inductor, simplifying the design and minimizing noise degradation. To validate the design, a two-stage LNA was implemented using 65−nm bulk complementary metal-oxide-semiconductor (CMOS) technology. Measurements show a peak gain of 28.5 dB and an average gain of 27.1 dB, along with a 3−dB bandwidth of 8−12.2 GHz, and a minimum NF of 1.61 dB with an average NF of 1.8 dB across the band. The LNA achieves an IP 1 dB of −28.2 dBm, IIP 3 of −19 dBm at 12 GHz, dissipates 22 mW from a 1 V supply, and occupies a compact core area of 0.187 mm2.</t>
  </si>
  <si>
    <t>https://ieeexplore.ieee.org/document/11103820</t>
  </si>
  <si>
    <t>First Demonstration of MMIC Low-Noise Amplifiers Operating at Ka-Band Realized With Enhancement-Mode Gallium Nitride HEMTs</t>
  </si>
  <si>
    <t>Patrick E. Longhi; Philippe Altuntas; Mohamed Salah Khenissa; Peter Frijlink; Charles Edoua Kacou; Julien Poulain</t>
  </si>
  <si>
    <t>In this contribution a first demonstrator of a Low-Noise Amplifier (LNA) employing an Enhancement-mode Gallium Nitride (GaN) High Electron Mobility Transistor in industrial-grade technology is given. The realized demonstrator MMIC features 20 dB gain and 1.5 dB Noise Figure in the 27 to 31 GHz bandwidth, targeting Ka-band SATCOM applications. A depletion-mode GaN LNA is realised in the same foundry run to comparatively assess the advantages and disadvantages of the E- and D-mode GaN LNA solutions. To the best of the Authors' knowledge this is the first example of a MMIC GaN LNA realized using an Enhancement-mode (normally-OFF) transistor.</t>
  </si>
  <si>
    <t>https://ieeexplore.ieee.org/document/11103790</t>
  </si>
  <si>
    <t>Extended D-Band Low-Noise-Amplifier MMICs Based on a 50-nm Metamorphic HEMT Technology</t>
  </si>
  <si>
    <r>
      <t xml:space="preserve">In this paper, two low-noise-amplifier (LNA) monolithic microwave integrated circuits (MMICs) in a </t>
    </r>
    <r>
      <rPr>
        <b/>
        <sz val="13.2"/>
        <color theme="1"/>
        <rFont val="MathJax_Main"/>
      </rPr>
      <t>50−nm</t>
    </r>
    <r>
      <rPr>
        <sz val="11"/>
        <color theme="1"/>
        <rFont val="Calibri"/>
        <family val="2"/>
        <scheme val="minor"/>
      </rPr>
      <t xml:space="preserve"> metamorphic high-electron-mobility-transistor (mHEMT) technology extending the D-band </t>
    </r>
    <r>
      <rPr>
        <sz val="13.2"/>
        <color theme="1"/>
        <rFont val="MathJax_Main"/>
      </rPr>
      <t>(110−170GHz)</t>
    </r>
    <r>
      <rPr>
        <sz val="11"/>
        <color theme="1"/>
        <rFont val="Calibri"/>
        <family val="2"/>
        <scheme val="minor"/>
      </rPr>
      <t xml:space="preserve"> are demonstrated. The optimization of the matching networks in D-band for lowest noise and high gain is discussed. LNA 1 utilizes a grounded co-planar waveguide environment with </t>
    </r>
    <r>
      <rPr>
        <sz val="13.2"/>
        <color theme="1"/>
        <rFont val="MathJax_Main"/>
      </rPr>
      <t>30</t>
    </r>
    <r>
      <rPr>
        <i/>
        <sz val="13.2"/>
        <color theme="1"/>
        <rFont val="MathJax_Math"/>
      </rPr>
      <t>μ</t>
    </r>
    <r>
      <rPr>
        <sz val="13.2"/>
        <color theme="1"/>
        <rFont val="MathJax_Main"/>
      </rPr>
      <t> m</t>
    </r>
    <r>
      <rPr>
        <sz val="11"/>
        <color theme="1"/>
        <rFont val="Calibri"/>
        <family val="2"/>
        <scheme val="minor"/>
      </rPr>
      <t xml:space="preserve"> ground-to-ground spacing, while LNA 2 is investigating how the noise performance can be improved by using a lower loss input matching network with </t>
    </r>
    <r>
      <rPr>
        <sz val="13.2"/>
        <color theme="1"/>
        <rFont val="MathJax_Main"/>
      </rPr>
      <t>50</t>
    </r>
    <r>
      <rPr>
        <i/>
        <sz val="13.2"/>
        <color theme="1"/>
        <rFont val="MathJax_Math"/>
      </rPr>
      <t>μ</t>
    </r>
    <r>
      <rPr>
        <sz val="13.2"/>
        <color theme="1"/>
        <rFont val="MathJax_Main"/>
      </rPr>
      <t> m</t>
    </r>
    <r>
      <rPr>
        <sz val="11"/>
        <color theme="1"/>
        <rFont val="Calibri"/>
        <family val="2"/>
        <scheme val="minor"/>
      </rPr>
      <t xml:space="preserve"> ground-to-ground spacing. LNA 1 achieves an average in-band gain of 27.7 dB over a broad bandwidth of </t>
    </r>
    <r>
      <rPr>
        <sz val="13.2"/>
        <color theme="1"/>
        <rFont val="MathJax_Main"/>
      </rPr>
      <t>96−168GHz</t>
    </r>
    <r>
      <rPr>
        <sz val="11"/>
        <color theme="1"/>
        <rFont val="Calibri"/>
        <family val="2"/>
        <scheme val="minor"/>
      </rPr>
      <t xml:space="preserve">, with an average noise temperature of 343 K (3.4 dB noise figure). LNA 2 operates between </t>
    </r>
    <r>
      <rPr>
        <sz val="13.2"/>
        <color theme="1"/>
        <rFont val="MathJax_Main"/>
      </rPr>
      <t>98−170GHz</t>
    </r>
    <r>
      <rPr>
        <sz val="11"/>
        <color theme="1"/>
        <rFont val="Calibri"/>
        <family val="2"/>
        <scheme val="minor"/>
      </rPr>
      <t xml:space="preserve"> with an average small-signal gain of 25.4 dB and an measured average noise temperature of 325 K </t>
    </r>
    <r>
      <rPr>
        <sz val="13.2"/>
        <color theme="1"/>
        <rFont val="MathJax_Main"/>
      </rPr>
      <t>(3.2 dB)</t>
    </r>
    <r>
      <rPr>
        <sz val="11"/>
        <color theme="1"/>
        <rFont val="Calibri"/>
        <family val="2"/>
        <scheme val="minor"/>
      </rPr>
      <t xml:space="preserve"> between </t>
    </r>
    <r>
      <rPr>
        <sz val="13.2"/>
        <color theme="1"/>
        <rFont val="MathJax_Main"/>
      </rPr>
      <t>107−170GHz</t>
    </r>
    <r>
      <rPr>
        <sz val="11"/>
        <color theme="1"/>
        <rFont val="Calibri"/>
        <family val="2"/>
        <scheme val="minor"/>
      </rPr>
      <t>. To the best of the authors' knowledge, this is the lowest noise performance demonstrated over the full D-band by an LNA at room temperature.</t>
    </r>
  </si>
  <si>
    <t>https://ieeexplore.ieee.org/document/11103921</t>
  </si>
  <si>
    <t>A Ku-Band CMOS LNA with Symmetric Polarity-Selective Transformer for Efficient 180° Phase Shifting</t>
  </si>
  <si>
    <t>Jae-Hyeok Song; Jeong-Taek Lim; Jae-Eun Lee; Jeong-Taek Son; Joon-Hyung Kim; Min-Seok Baek</t>
  </si>
  <si>
    <t>We proposes a Ku-band CMOS low-noise amplifier (LNA) with an integrated 180° phase shift function, aimed at reducing the chip area of beamforming systems. The proposed LNA consists of two stages, with the final stage utilizing a differential structure featuring a polarity-selective transformer for the 180° phase shift. This functionality is achieved by altering the polarity induction direction of the transformer using a switch, enabling the 180° phase shift without additional chip area. The LNA was implemented in a 28−nm bulk CMOS process, achieving a compact core size of 0.6×0.21 mm2. Measurement results show a phase error and gain error between the 0° and 180° phase shift modes of &lt;0.64∘ and &lt;0.052 dB, respectively, within the 9.5−12.6GHz operating frequency range. Furthermore, the LNA demonstrates a minimum noise figure of 2.75 dB and a maximum gain of 23.2 dB, validating the effectiveness of the proposed design.</t>
  </si>
  <si>
    <t>https://ieeexplore.ieee.org/document/11103817</t>
  </si>
  <si>
    <t>A 50-70.9-GHz LNA with Defectly-Coupled-Transformer Achieving Sub-4 DB NF and 298.6-GHZ GBW for 5GNR-FR2-2 and SATCOM</t>
  </si>
  <si>
    <t>This paper presents a sub-4-dB NF 50-70.9 GHz LNA with a defectly coupled transformer. The source-to-gate coupled feedback in the input transformer network is inhibited for wideband simultaneous noise and input matching. A coupling canceling structure is utilized to reduce the specific coupling in a tri-coupled transformer. Verified in a conventional 40-nm bulk CMOS process, the proposed LNA achieves 3.5 dB NFmin and 298.6-GHz GBW. The input matching range covers 47-73.4 GHz. The IP1dB is measured as −14.5 dBm, while consuming 33 mW. Benefited from the defectly coupled transformer, the proposed LNA demonstrates the highest figure of merit (FoM) compared to state-of-the-arts mm-wave LNAs.</t>
  </si>
  <si>
    <t>https://ieeexplore.ieee.org/document/11103845</t>
  </si>
  <si>
    <t>Broadband LNA with Dual-Resonance Matching Network with Capacitive Feedback for Improved Gain and Noise Figure Using 0.1-μm GaAs pHEMT Technology</t>
  </si>
  <si>
    <t>Jong-Seong Park; Jeong-Taek Son; Joon-Hyung Kim; Min-Seok Baek; Byeong-Chan Lee; Eun-Gyu Lee</t>
  </si>
  <si>
    <t>This paper proposes a three-stage broadband lownoise amplifier (LNA) featuring dual resonance. In the first stage, a feedback capacitor is added between the gate and source, creating an additional resonance with the series inductor. This approach achieves broadband input matching, flat gain, and excellent noise performance. In the final stage, R-C feedback is applied to achieve both stability and wideband characteristics simultaneously. The proposed LNA was designed and fabricated using 0.1-μm GaAs pHEMT process to validate its feasibility, and its performance was verified through precise measurements. The measurement results show that the proposed LNA achieves input and output matching below −10 dB, an average NF of 2.8 dB, and an average gain of 21.2 dB across the 16–38.8 GHz frequency range. It consumes 60 mW of power at 1.2 V supply voltage and has chip size of 1.12 mm2 including pads.</t>
  </si>
  <si>
    <t>https://ieeexplore.ieee.org/document/11104012</t>
  </si>
  <si>
    <t>A C/X-Band LNA Leveraging a Voltage-Tapered Gain-Cell Stacking Technique for 6G and IR-UWB</t>
  </si>
  <si>
    <r>
      <t xml:space="preserve">This work details the design of a low-power LNA, fabricated in a 45 nm PDSOI process, for IR-UWB and 6 G satellite communication applications. This device operates in </t>
    </r>
    <r>
      <rPr>
        <sz val="13.2"/>
        <color theme="1"/>
        <rFont val="MathJax_Main"/>
      </rPr>
      <t>C</t>
    </r>
    <r>
      <rPr>
        <sz val="11"/>
        <color theme="1"/>
        <rFont val="Calibri"/>
        <family val="2"/>
        <scheme val="minor"/>
      </rPr>
      <t xml:space="preserve"> and X-band, demonstrating superb RF metrics compared to the state-of-the-art. Excellent performance is obtained via the adoption of an extremely power efficient topology leveraged at the amplifier's input stage, whereby two complementary current re-use amplifier cells are stacked between the supply rail and ground. The amplifier cells share a common de bias current, while their RF outputs are combined in parallel through capacitive coupling. This allows for bias current scaling with no penalty to voltage gain. The theoretical limit of gain-cell stacking is a function of supply voltage, input voltage swing, and the process dependent RF characteristics of a given device. Judicious consideration of these three factors can yield marked power savings, especially in a multi-stage design, where a tapered stacking approach may be implemented. This technique enables an exemplary LNA which demonstrates a peak gain of 24.1 dB, 2.9 GHz BW, a 4.5 dB NF, and a OP1dB of 0.23 dBm, while consuming 6.5 mW of power. This equates to an excellent LNA FOM when compared to similar devices in the C and X-band.</t>
    </r>
  </si>
  <si>
    <t>https://ieeexplore.ieee.org/document/11103887</t>
  </si>
  <si>
    <t>A 28GHz Compact Phased-Array Beamformer with 21.3dBm PSAT and 5.2dB Noise Figure in 40NM CMOS</t>
  </si>
  <si>
    <t>Zheng Ma; Zonglin Ma; Hao Shi; Ming Yin; Yifei Yan; Weihong Liu</t>
  </si>
  <si>
    <t>This paper presents a 28-GHz compact high-power TRX phased-array beamformer implemented in 40-nm CMOS for 5 G applications. A high-power PA-LNA integrates a parallel combining transformer (PCT) embedded T/R switch, achieving high output power and low noise figure. Meanwhile, a frequency-selective suppression technique (FSST) is employed in the interstage matching network to introduce the transmission zero, enhancing out-of-band signal suppression. Additionally, a bidirectional phase shifter is proposed for precise phase control, which enables a compact beamformer implementation. The beamformer demonstrates the measured peak gains of 22/24 dB in TX/RX mode. The measured peak PSAT/P1dB is up to 21.3/19.8 dBm, the PAEmax/PAEP1dB is 18.3%/15.9%. The measured minimum NF is 5.2 dB. With a 64-QAM 400 MSym/s singlecarrier signal, it achieves a POUT,AVG of 15.9 dBm and a PAEAVG of 8.3% at EVMrms of −24.9 dB}. The four-element beamformer occupies only 3.6 mm2.</t>
  </si>
  <si>
    <t>https://ieeexplore.ieee.org/document/11103840</t>
  </si>
  <si>
    <t>A 0.3dB-NF SiGe LNA Array for 10.5T Multi-Channel MRI Receivers</t>
  </si>
  <si>
    <t>Alireza Rouhafza; Russell L. Lagore; Gregor Adriany; Kamil Ugurbil; Yahya Tousi</t>
  </si>
  <si>
    <t>This paper presents an on-chip LNA array at 447 MHz for 10.5 T multi-channel MR receive arrays. First, we develop a theoretical foundation for minimizing bipolar amplifier noise figure, and design an LNA based on this approach. Additionally, we consider several implementation factors including coupling between channels and magnetic-field robustness. A preamplifier array based on this concept is then fabricated using the GF 8XP 130 nm SiGe process. The total area of the 4-element array is 2.2mm×1.2mm with each channel consuming 20 mW. Measurements show an excellent noise figure of 0.3 dB, a gain of 28 dB across 410-510 MHz, and more than 29 dB isolation making this array a viable replacement for existing bulky off-the-shelf solutions. The theoretical calculations, design kit simulations and measurements results show good agreement. This chip opens the door for integrated receiver systems for next generation high-channel-count MR arrays.</t>
  </si>
  <si>
    <t>https://ieeexplore.ieee.org/document/11104031</t>
  </si>
  <si>
    <t>An 86-90 GHz Adaptive Gain CMOS LNA with Linearity Enhancement &amp; −6 dBm Blocker Tolerance</t>
  </si>
  <si>
    <t>Harsh Pallav Govind Rao; Tal Elazar; Eran Socher</t>
  </si>
  <si>
    <t>This paper presents a W-band adaptive gain lownoise amplifier to improve its IM3 rejection and blocker tolerance. The proposed design employs a current steering topology controlled by the adaptive bias (ADB) circuit and a novel coupler design for automatic gain control. The measurement results demonstrate a peak gain of 14.5 dB at 88 GHz with a dynamic gain control range of 13 dB and constant center frequency. The minimum measured NF is 7.6 dB at 88 GHz and &lt;9.2 dB at the frequency of 86−90GHz. Two-tone test measurements show 10 dB improvement in IM3 rejection, and the blocker test shows 15 dB improvement in SFDR compared to the LNA with the adaptive gain turned off. The chip was fabricated in TSMC 65 nm CMOS, occupies a core area of 0.11 mm2, and consumes DC power of 37.2 mW when ADB is off and 40.8 mW when ADB is on.</t>
  </si>
  <si>
    <t>https://ieeexplore.ieee.org/document/11103918</t>
  </si>
  <si>
    <t>A 23–40 GHz Compact LNA with Dual-Path Noise-Cancelling Technology Enabled by a Quad-Coil Coupled Transformer</t>
  </si>
  <si>
    <t>Yongchun Li; Taotao Xu; Pei Qin; Quan Xue; Wenquan Che</t>
  </si>
  <si>
    <t>This paper presents a 23–40 GHz low-noise amplifier (LNA) that employs dual-path noise-cancelling technology. The proposed noise-cancelling method, implemented through a quad-coil coupled transformer network, significantly reduces the circuit noise while maintaining a compact layout. To enhance the gain and stability of the circuit, a common-source stage with single-ended neutralization is incorporated after the noise-cancelling stage. Fabricated using TSMC 65-nm CMOS process, the LNA achieves a maximum gain (S21) of 15.7 dB, a minimum noise figure (NF) of 2.79 dB, and occupies a chip area of 0.089 mm2. The amplifier operates at a supply voltage of 0.6 V, consuming 14 mW of power.</t>
  </si>
  <si>
    <t>https://ieeexplore.ieee.org/document/11082903</t>
  </si>
  <si>
    <t>https://ieeexplore.ieee.org/document/11082808</t>
  </si>
  <si>
    <t>A 22-nm CMOS 3.5-7.2 GHz Wideband FEM with a Balanced-Power-Combining DPA and a Dual-Resonant Input Matching LNA</t>
  </si>
  <si>
    <t>Kangjie Zhao; Can Liu; Linfeng Zou; Kai Liu; Yuan Xu;Xinyi Jiang</t>
  </si>
  <si>
    <t>This paper presents a 3.5−7.2GHz wideband front-end module (FEM) implemented in 22−nm CMOS technology. The FEM consists of a digital power amplifier (DPA) and a low noise amplifier (LNA). The DPA utilizes a 4-way balanced-power-combining (BPC) network with electrical coupling compensation to minimize broadband amplitude modulation (AM) and phase modulation (PM) mismatches among the four sub-arrays. To improve efficiency and linearity, an AM-PM distortion-canceling power cell is developed. The LNA employs a dual-resonant input matching (DRIM) approach to achieve wideband input impedance and noise matching. The DPA achieves a peak output power of 30.08 dBm with a drain efficiency of 43.31% at 6 GHz. For a 40 MHz 256 -QAM signal, the average output power (Pavg ) is 19.09, 21.07 and 17.18 dBm at 4.5, 6, and 7.2 GHz, respectively, with average drain efficiency (DEavg ) of 20.39%, 20.6% and 18.5%. For a 20 MHz 1024-QAM signal, the Pavg  is 16.7,18.25 and 17.55 dBm at 4.5,6 and 7.2 GHz with DEavg  of 18.22%,18.41% and 16.53%, respectively. The LNA achieves a peak S21 of 18.8 dB at 6 GHz, with the noise figure (NF) of 1.7 dB and S11 and S22 below -10 dB across the 3.5-7.2 GHz range</t>
  </si>
  <si>
    <t>A 0.2-6 GHz 65 nm CMOS Active-Feedback LNA with Threefold Balun-Error Correction and Implicit Post-Distortion Technique</t>
  </si>
  <si>
    <t>Benqing Guo</t>
  </si>
  <si>
    <t>we propose a wideband low-noise amplifier (LNA) with balun-error correction and linearity enhancement. Towards active feedback LNA in double CS stages, a threefold correction of voltage ratio preset, differential current balancer (DCB), and high-frequency RC compensation is applied to lower balun error across the passband. A linearization structure without penalty of add-on parasitic and noise is proposed herein. The active feedback path is reused as post-linearization to tap and cancel distortion of input CS stages at the LNA outputs. The distortion of the active load is regulated by tuning the output CM level via a CMFB block, to compensate for the residual distortion offset. A CM-DM noise conversion through asymmetry of output resistance is suppressed by the OTA filtering. Measurement results show that within the bandwidth of 0.2-6 GHz, the LNA prototype implemented in standard 65 nm CMOS technology, achieves a gain of 19.5 dB, a noise figure (NF) of 2.8 dB. Across the passband, gain and phase errors are within 0.5 dB and 1° while the average IIP3 reaches 2.5 dBm. The proposed circuit consumes 14.7 mW and occupies core area of 0.095 mm2.</t>
  </si>
  <si>
    <t>https://ieeexplore.ieee.org/document/11082925</t>
  </si>
  <si>
    <t>Design of 22.6-29.5/ 30.4-43.5 GHz Dual-Band Low Power LNA with 2.6-3.8 dB NF for Millimeter-Wave 5G Applications in 28-nm CMOS</t>
  </si>
  <si>
    <t>Haitao Lin; Li Gao; Xinyang Liu; Xiuyin Zhang</t>
  </si>
  <si>
    <t>This paper presents a reconfigurable dual-band low power low noise amplifier (LNA) for 5G millimeter-wave (mm-Wave) applications. In the proposed LNA, a two-stage amplifier is designed with wideband input matching network. Compact switchable triple coupled transformer (STCT) is applied to the interstage matching network. The STCT can adjust the transmission poles by tuning the coupling of inductors to achieve reconfigurable operating bands. Additionally, the STCT generates a transmission zero in the low band mode, resulting in a high image rejection ratio. Fabricated in TSMC 28-nm CMOS process, the proposed LNA occupies a compact core size of only 0.09 mm2. The measured results show that the low band has a peak gain of 19.7 dB with a 3 dB bandwidth of 22.6-29.5 GHz and the high band has a peak gain of 19.2 dB with a 3 dB bandwidth of 30.4-43.5 GHz. The LNA achieves a minimum NF of 2.6/2.9 dB, and IP1dB of -18.7/-18.3 dBm in the low/high band mode. The total DC power consumption is only 10 mW.</t>
  </si>
  <si>
    <t>https://ieeexplore.ieee.org/document/11082893</t>
  </si>
  <si>
    <t>A 15-50 GHz LNA With 2.4 dB NF and 25.4±1.4 dB Gain In 0.15 um GaAs pHEMT Process</t>
  </si>
  <si>
    <t>Nengyuan Zhong; Yao Li; Shiwei Hu; Chenhao Gao; Xiang Wang; Yanjie Wang</t>
  </si>
  <si>
    <t>A four-stage ultra-wideband 15−50GHz LNA in 0.15 um GaAs pHEMT process is presented in this paper. A RLC feedback with a virtual ground capacitance (RLC&amp;VGC) topology used in current-reuse structure is proposed, which enables flexible adjustment of both low- and high-frequency gain. Moreover, a RC parallel circuit and LR series circuit are exploited to improve gain flatness. Several bandwidth extension techniques are employed to expand the bandwidth up to 50 GHz. A prototype of a four-stage common-source (CS) LNA with the proposed techniques is designed and fabricated in a 0.15 um GaAs pHEMT process. Measurement results show a noise figure (NF) of 2.4 dB, a gain exceed 24 dB with the gain flatness of ±1.4 dB. Due to the utilization of the self-biasing technology, the chip consumes a DC power of 168 mW with a single DC supply of +4 V. The amplifier achieves good linearity, with an output 1 dB compression point (OP1 dB) of 13.4 dBm and a third-order intercept point (OIP3) of 23 dBm.</t>
  </si>
  <si>
    <t>https://ieeexplore.ieee.org/document/11082802</t>
  </si>
  <si>
    <t>A 3.23dB Average NF and 2.32dB Minimum NF V-/E-Band Common-Gate/Common-Source Joint-Feeding LNA with Three-Line Coupler Input Matching for Simultaneous Noise/Power Matching</t>
  </si>
  <si>
    <t>Boce Lin; Niccoló Villaggi; Tzu-Yuan Huang; Hua Wang</t>
  </si>
  <si>
    <t>The proposed and implemented V/E-band low noise amplifier (LNA) in 22nm CMOS FDSOI covering 3dB bandwidth of 60.6 to 74.4GHz. It achieves a measured average noise figure (NF) of 3.23dB averaged over the 3dB bandwidth and over 5 samples. Moreover, it records a measured averaged minimum NF of 2.32dB at 65GHz over 5 samples. It utilizes a three-line coupler to provide wide-band simultaneous noise and power matching and trans-conductance (gm) boost. This LNA design provides a compact chip area with moderate power consumption and extremely low NF, which together can support the future backhaul system and fixed wireless networks of 5G and beyond-5G communication.</t>
  </si>
  <si>
    <t>https://ieeexplore.ieee.org/document/11082870</t>
  </si>
  <si>
    <t>https://ieeexplore.ieee.org/document/11082842</t>
  </si>
  <si>
    <t>A CMOS-Enabled Heterogeneously-Integrated InP HEMT W-band LNA with 2.8-dB Noise Figure at 7.7-dB Gain and 4.5 mW PDC</t>
  </si>
  <si>
    <t>Justin J. Kim; Alex Dinkelacker; Nicholas Vong; Michael D. Hodge; Matthew H. Tom; Bennett C. Coy; Mark R. Soler; Christopher Maxey; Florian Herrault; James F. Buckwalter</t>
  </si>
  <si>
    <t>We report the integration of an Indium Phosphide (InP) high-electron mobility transistor (HEMT) into an RF CMOS wafer for a W-band (60−90GHz) low-noise amplifier (LNA). One- and two-stage differential LNAs include CMOS circuits that support RF power detection and temperature sensing. Prototype LNAs are implemented on both a silicon interposer and a 130−nm RF CMOS process for performance comparison. The 1 -stage LNA demonstrates a maximum gain of 12.6 dB and the wideband 2-stage LNA has a peak gain of 15.1 dB. The minimum noise figure of the heterogeneous InP-CMOS LNA is 2.8 dB at 7.7−dB gain while consuming 4.5 mW, outperforming CMOS LNAs in W-band.</t>
  </si>
  <si>
    <t>An 18-GHz 1.95-dB NF 3.6-mW CMOS Low-Noise Amplifier for Satellite Communication Applications</t>
  </si>
  <si>
    <t>Jeng-Han Tsai; Jia-Hui Huang</t>
  </si>
  <si>
    <t>This article presents a Ku-/K-band bulk CMOS low-noise amplifier (LNA) for satellite communication RF front end. A power-constrained simultaneous noise and input matching (PCSNIM) technique is adopted for the first common-source (CS) stage to minimize the noise figure (NF) while maintaining low dc power and good input return loss. The second stage, using a neutralized differential CS configuration, is adopted to increase the gain and stability performance. Utilizing a current-reuse technique, the first CS stage and the second differential CS stage can be stacked and share the current from a single supply to further reduce the power consumption of the LNA. Fabricated in 90-nm CMOS technology, the LNA achieves 1.95-dB minimum NF at 18 GHz with low dc power consumption of 3.6 mW. The maximum small signal gain is 16.2 at 20.5 GHz, and the 3-dB bandwidth (BW) is 6.6 GHz from 15.9 to 22.5 GHz. To the best of our knowledge, the presented Ku-/K-band CMOS LNA has low NF, low dc power, and the highest figure of merit (FoM) among recently published Ku-/K-/Ka-band bulk CMOS LNAs.</t>
  </si>
  <si>
    <t>https://ieeexplore.ieee.org/document/11229931</t>
  </si>
  <si>
    <t>A 115.6–156.1-GHz Wideband Low-Noise Amplifier in 65-nm CMOS Technology</t>
  </si>
  <si>
    <t>Wooyong Keum; Jaeman Lee; Minseok Choi; Jae-Sung Rieh</t>
  </si>
  <si>
    <t>This letter presents a D-band wideband low-noise amplifier (LNA) fabricated in a 65-nm CMOS technology. The LNA employs a five-stage pseudo-differential common-source topology, along with a staggered matching technique with low-coupling-coefficient (low-k) transformers. To mitigate gain and phase imbalance as well as to reduce the noise figure (NF) and its in-band fluctuations, a transformer-based input matching network with zero- Ω transmission line (ZTL) is introduced. As a result, the LNA achieves a peak gain of 18.0 dB, a 3-dB bandwidth (BW) of 40.5 GHz (115.6–156.1 GHz), and an NF down to 5.74 dB over its BW. NF was measured by three different methods, which showed consistent results across the 3-dB BW. The measured IP1dB is −16.1 dBm at 140 GHz, and the LNA dissipates a total dc power of 33 mW with a 1-V supply.</t>
  </si>
  <si>
    <t>https://ieeexplore.ieee.org/document/11128933</t>
  </si>
  <si>
    <t>A 26.5–38-GHz Ka-Band GaN-on-Si Low-Noise Amplifier With Variable Gain Control</t>
  </si>
  <si>
    <t>Zhihao Zhang; Jinfeng Chen; Kai Yu; Tong Wang; Gary Zhang</t>
  </si>
  <si>
    <t>A broadband 26.5–38-GHz low-noise amplifier (LNA) with variable gain (VG) functionality, utilizing 100-nm gallium nitride on silicon (GaN-on-Si) process for Ka-band, is proposed. To achieve adjustable gain while minimizing noise degradation within a controllable range, a structured design procedure for device periphery and bias condition is introduced. Furthermore, a hybrid matching methodology combining low-pass and high-pass networks with a dual feedback loop in the last two stages is implemented for bandwidth enhancement. A 3-bit digital Si-CMOS controller is incorporated to modulate the gate bias of the GaN amplifier. Operating at 5 V with a quiescent current ( IDQ ) of 60 mA, the fabricated VG-LNA exhibits the measured gain of 26.9–29.9 dB, noise figure (NF) of 1.57–2.83 dB, and output power at 1-dB compression point ( OP1 dB ) of 9.2–16.5 dBm across 26.5–38 GHz. A reduction in IDQ from 100 to 20 mA results in a decline in peak gain from 31 to 24.1 dB at 28 GHz, accompanied by an increase in the minimum NF from 1.57 to 2.03 dB, and a decrease in the maximum OP1 dB from 18 to 14.8 dBm. To the best of our knowledge, this is the first demonstration of a GaN LNA with VG control feature.</t>
  </si>
  <si>
    <t>https://ieeexplore.ieee.org/document/10980629</t>
  </si>
  <si>
    <t>A Wideband GaN Low-Noise Amplifier With Multiple Coupling Feedback for 5G Millimeter-Wave Applications</t>
  </si>
  <si>
    <t>Fengyuan Mao; Zhijian Chen; Zhaohui Wu; Xinhuang Chen; Bin Li</t>
  </si>
  <si>
    <t>This article presents a four-stage wideband low-noise amplifier (LNA) for 5G communications using 0.15- μ m GaN technology. Multiple coupling feedback techniques are utilized to broaden the bandwidth of the LNA. The first stage uses gate–source coupling feedback (GSCF) to realize broadband simultaneous noise and input matching (SNIM). In the third stage, drain–source coupling feedback (DSCF) is employed to enhance high-frequency gain, which also improves stability and 3-dB bandwidth. Electromagnetic parallel coupling (EMPC) is applied in the interstage matching network (ISMN) to achieve wideband matching with a relatively low loss. The proposed LNA has a measured gain of 21.2–18.2 dB between 22.1 and 33.5 GHz with a fraction bandwidth (FBW) of 41%. The measured in-band noise figure (NF) is 2.2–3 dB. The output-referred 1-dB (OP1dB) compression point and output-referred third-order intercept point (OIP3) reach 6.5 and 16 dBm, respectively, at the center frequency of 25 GHz. The LNA consumes 200 mW at 5-V dc bias with a compact chip area of 2.6×1.2 mm2 including pads.</t>
  </si>
  <si>
    <t>https://ieeexplore.ieee.org/document/11099009</t>
  </si>
  <si>
    <t>Design of a 0.5–18 GHz 1.67–2.34 dB NF Low-Noise Amplifier in SiGe Technology</t>
  </si>
  <si>
    <t>Mai Luo; Fanyi Meng</t>
  </si>
  <si>
    <t>This letter presents an ultrawideband low-noise amplifier (LNA) incorporating stage-decoupled pole-shaping (SDPS) inductors. The bandwidth (BW) of each amplification stage is extended through independent RC feedback networks. In addition, the SDPS inductors introduce two controllable poles. These poles can be tuned to achieve pole shifting and peak staggering, which extend the operating bandwidth in a co-optimized manner. The resistive loads are employed to simplify interstage and output matching networks, achieving ultrawideband matching while maintaining a highly compact core layout. The proposed LNA is fabricated using the HHGRACE 0.18- μ m SiGe BiCMOS process, achieving a bandwidth of 0.5–18 GHz [189.2% fractional bandwidth (FBW)], a peak gain of 21.5 dB, a noise figure (NF) performance in terms of noiseof 1.67–2.34 dB, an output 1-dB compression point (OP 1dB ) of 5.97 dBm at 8 GHz, a dc power consumption of 33.2 mW under a 3.3 V supply voltage, and a core area of only 0.07 mm2.</t>
  </si>
  <si>
    <t>https://ieeexplore.ieee.org/document/11091602</t>
  </si>
  <si>
    <t>A 7.3–9.5-GHz Cryogenic LNA Based on Passive Noise Cancellation for Qubit State Readout</t>
  </si>
  <si>
    <t>12/2024</t>
  </si>
  <si>
    <t>Yaoyu Li; Yanshu Guo; Tian Tian; Wenqiang Huang; Zhihua Wang; Yuanjin Zheng</t>
  </si>
  <si>
    <t>A cryogenic low-voltage, broadband low-noise amplifier(LNA) has been designed for qubit state readout systems. The proposed LNA utilizes passive components for noise cancellation. A tri-coupled transformer is utilized to simultaneously achieve broadband input impedance matching and noise matching. Additionally, it incorporates capacitive feedback and an in-phase transformer to effectively cancel noise. Implemented in 28-nm bulk CMOS technology and verified at 10 K, the LNA achieves a maximum gain of 26.7 dB, a −3-dB bandwidth of 2.2 GHz, a lowest noise temperature (NT) of 25 K, a power consumption of 4.05 mW at 0.6-V supply voltage, and a figure of merit (FoM) of 0.12 dB/mW/ph, which is comparable with the recent works.</t>
  </si>
  <si>
    <t>https://ieeexplore.ieee.org/document/11015602</t>
  </si>
  <si>
    <t>A 140-GHz Low-Noise Amplifier in 45-nm RFSOI Based on a Joint-Noise-and-Gain-Optimized Embedding Network</t>
  </si>
  <si>
    <t>6/2025</t>
  </si>
  <si>
    <t>Phong Nguyen; Harish Krishnaswamy</t>
  </si>
  <si>
    <t>This letter presents a D-band three-stage differential low-noise amplifier (LNA) design using a joint-noise-and-gain-optimized embedding network in GlobalFoundries’ 45-nm RFSOI process. The embedding network ensures that the amplifier at each stage is gain-boosted and designed for simultaneous noise and conjugate match while minimizing the loss of the input matching network, resulting in LNA with the highest peak gain, lowest noise figure (NF), and highest figure of merit (FoM) compared with other reported CMOS designs. The LNA has a peak gain of 30.75 dB at 138 GHz, a minimum NF of 4.25–5.32 dB, and an OP1 dB of −2.43 dBm at 138 GHz. The design consumes a dc power of 25 mW and occupies an active area of 0.13 mm2.</t>
  </si>
  <si>
    <t>https://ieeexplore.ieee.org/document/11010832</t>
  </si>
  <si>
    <t>3/2025</t>
  </si>
  <si>
    <t>A CMOS Linear Low-Noise Amplifier Using Transformer-Based Second-Harmonic Trap</t>
  </si>
  <si>
    <t>Il Jun Kim; Min-Su Kim</t>
  </si>
  <si>
    <t>This letter presents second-harmonic termination techniques for inductively source-degenerated cascode CMOS low-noise amplifiers (LNAs) with a transformer (TF)-based harmonic network. The proposed harmonic trap circuit terminates the second-order distortion generated in the common-source stage of the cascode structure, thereby improving the linearity of the LNA. In a transformed-based harmonic trap circuit, the primary inductor of the TF is used as the source-degenerated inductor for fundamental frequency gain and noise matching, and the secondary inductor along with an additional capacitor is used to terminate the second-harmonic frequency through LC resonance. The LNA is implemented using a 90-nm CMOS process and includes on-chip electrostatic discharge (ESD) protection circuits, making it suitable for commercialization. The fabricated LNA achieves a small signal gain of 18.48 dB, a noise figure (NF) of 1.1 dB, and an third input intercept point (IIP3) performance of -5.9 dBm at 2.62 GHz. The chip has an area of 416×879 μ m2 excluding the guard-ring layer, and it consumes 11.76 mW of power at a supply voltage of 1.2 V.</t>
  </si>
  <si>
    <t>https://ieeexplore.ieee.org/document/10837581</t>
  </si>
  <si>
    <t>A 70–89.8-GHz LNA With Transformer-Based T-Shape Matching and Pole-Tuning Techniques</t>
  </si>
  <si>
    <t>Junyuan Tu; Guangyin Feng; Xiang Yi</t>
  </si>
  <si>
    <t>This letter presents a broadband E-band low-noise amplifier (LNA) for radar and communication applications. A three-stage cascade structure is adopted with pole-tuning technique to extend the bandwidth. Two transformer-based T-shape matching networks are proposed for input and output impedance matching, which has the advantage of compactness and wideband matching. The proposed LNA was fabricated in a 40-nm LP CMOS process with a core area of 0.067 mm2. Under a power consumption of 18 mW, the LNA achieves a peak gain of 11.9 dB at 84.5 GHz, a 3-dB bandwidth of 20 GHz, a minimum noise figure (NF) of 5.96 dB, and a IP 1 dB of −11.7 dBm with in-band variation of less than 1.2 dB.</t>
  </si>
  <si>
    <t>https://ieeexplore.ieee.org/document/10852546</t>
  </si>
  <si>
    <t>1/2025</t>
  </si>
  <si>
    <t>W-Band Broadband CMOS LNA Using Partially Coupled Transformer and Large Transistor</t>
  </si>
  <si>
    <t>Jae-Hyeok Song; Han-Woong Choi; Jeong-Taek Lim; Choul-Young Kim</t>
  </si>
  <si>
    <t>This letter presents a W-band broadband low-noise amplifier (LNA) that uses a transformer-based input matching network (MN) with a series inductor, which is implemented and verified using 65-nm bulk CMOS technology. The proposed transformer-based input MN not only provides a broadband input matching but simultaneously exhibits low-noise performance. The prototype LNA measures 0.09 mm2 and achieves a peak gain of 16.4 dB and an average noise figure (NF) of 4.32 dB. The measured 3-dB bandwidth (BW) is 19.4 GHz from 68.2 to 87.6 GHz and the IP1dB is −14 dBm with a power consumption of 44.5 mW. Compared to the existing W-band bulk CMOS LNAs, the implemented LNA achieves the low-noise performance and compact size.</t>
  </si>
  <si>
    <t>https://ieeexplore.ieee.org/document/10767767</t>
  </si>
  <si>
    <t>A 0.028-mm2 0.4-6.2-GHz Noise-Canceling LNA for Sub-6G Applications in 22-nm CMOS Technology</t>
  </si>
  <si>
    <t>Kaiyun Deng; Yingqi Liu; Haoyu Dong; Qiang Xiao; Haigang Feng; Zhihua Wang</t>
  </si>
  <si>
    <r>
      <t xml:space="preserve">This letter presents a novel wideband low-noise amplifier (LNA) topology for sub-6G applications. The design is based on a common-gate (CG) transistor with a </t>
    </r>
    <r>
      <rPr>
        <i/>
        <sz val="13.2"/>
        <color theme="1"/>
        <rFont val="MathJax_Math"/>
      </rPr>
      <t>g</t>
    </r>
    <r>
      <rPr>
        <i/>
        <sz val="7.75"/>
        <color theme="1"/>
        <rFont val="MathJax_Math"/>
      </rPr>
      <t>m</t>
    </r>
    <r>
      <rPr>
        <sz val="11"/>
        <color theme="1"/>
        <rFont val="Calibri"/>
        <family val="2"/>
        <scheme val="minor"/>
      </rPr>
      <t xml:space="preserve"> -boost stage, which reuses the </t>
    </r>
    <r>
      <rPr>
        <i/>
        <sz val="13.2"/>
        <color theme="1"/>
        <rFont val="MathJax_Math"/>
      </rPr>
      <t>g</t>
    </r>
    <r>
      <rPr>
        <i/>
        <sz val="7.75"/>
        <color theme="1"/>
        <rFont val="MathJax_Math"/>
      </rPr>
      <t>m</t>
    </r>
    <r>
      <rPr>
        <sz val="11"/>
        <color theme="1"/>
        <rFont val="Calibri"/>
        <family val="2"/>
        <scheme val="minor"/>
      </rPr>
      <t xml:space="preserve"> -boost amplifier into a gain stage and a noise cancellation (NC) path. The common-source stage with a resistive feedback (CS-RF) structure is utilized as the </t>
    </r>
    <r>
      <rPr>
        <i/>
        <sz val="13.2"/>
        <color theme="1"/>
        <rFont val="MathJax_Math"/>
      </rPr>
      <t>g</t>
    </r>
    <r>
      <rPr>
        <i/>
        <sz val="7.75"/>
        <color theme="1"/>
        <rFont val="MathJax_Math"/>
      </rPr>
      <t>m</t>
    </r>
    <r>
      <rPr>
        <sz val="11"/>
        <color theme="1"/>
        <rFont val="Calibri"/>
        <family val="2"/>
        <scheme val="minor"/>
      </rPr>
      <t xml:space="preserve"> -boost stage. The overall circuit utilizes complementary pMOS-nMOS configurations for current reuse, resulting in power savings and linearity improvement. Fabricated in 22-nm CMOS, the measured results show that the proposed LNA exhibits a peak gain of 14.8 dB and a minimum noise figure (NF) of 2.9 dB within a 3-dB bandwidth of 0.4−6.2 GHz. The LNA achieves an input third-order intercept point (IIP3) of −2.3 dBm at 3 GHz while drawing 9 mW from a 0.9-V supply, with a core area of 0.028 mm </t>
    </r>
    <r>
      <rPr>
        <b/>
        <sz val="7.75"/>
        <color theme="1"/>
        <rFont val="MathJax_Main"/>
      </rPr>
      <t>2</t>
    </r>
    <r>
      <rPr>
        <sz val="11"/>
        <color theme="1"/>
        <rFont val="Calibri"/>
        <family val="2"/>
        <scheme val="minor"/>
      </rPr>
      <t xml:space="preserve"> .</t>
    </r>
  </si>
  <si>
    <t>https://ieeexplore.ieee.org/document/11219426</t>
  </si>
  <si>
    <t>A 10–60-GHz LNA With 3.2–4.4-dB NF for Wideband Applications in 16-nm FinFET Process</t>
  </si>
  <si>
    <t>Ahmed Helaly; Mohammed Helal; Gabriel M. Rebeiz</t>
  </si>
  <si>
    <t>This letter presents a 10–60-GHz low-noise amplifier (LNA) implemented in CMOS FinFET technology. The LNA consists of four gain-staggered cascode stages to cover the wide bandwidth. Resistive feedback and multipole loads are used to achieve wideband operation. A high coupling coefficient balun is used to generate a differential output signal. The LNA has a measured small-signal peak gain of 23 dB with a noise figure (NF) of 3.2–4.4 dB. The LNA also achieves an output-referred 1-dB compression point of 0 dBm at the center frequency of the band and consumes a total power of 32 mW occupying an active area of 0.8×0.29 mm2 . Application areas are phased arrays covering multiple 5G bands and multistandard receivers</t>
  </si>
  <si>
    <t>https://ieeexplore.ieee.org/document/11044881</t>
  </si>
  <si>
    <t>An Ultrawideband Cryogenic LNA in 40-nm CMOS for Multiple Spin/Superconducting Qubit Readout</t>
  </si>
  <si>
    <t>12/2025</t>
  </si>
  <si>
    <t>Mahesh Kumar Chaubey; Yin-Cheng Chang; Po-Chang Wu; Hann-Huei Tsai; Shawn S. H. Hsu</t>
  </si>
  <si>
    <t>This letter presents an ultrawideband cryogenic low-noise amplifier (LNA) with current reuse and stacked inverter-based input-referred noise (IRN) cancellation in 40-nm CMOS. The first stage utilizes an IRN reduction high- Q gate inductor with current reuse, a stacked inverter-based shunt-resistive feedback input stage, and a cryogenically aware back-gate biasing technique to regulate the threshold voltage under cryogenic operation. The second stage is the common-source (CS) main amplifier, followed by a cascode current-reuse auxiliary amplifier to suppress the channel thermal noise of the main amplifier. The third stage is the current-reuse CS inverter-based postamplifier buffer stage. At 4 K, the LNA achieves a measured peak gain ( S21 ) of 37 dB, with a large 3-dB bandwidth (BW) from 0.15 to 8 GHz and a NF min of 0.4 dB at 3.2 GHz under PDC of 13.2 mW. To our knowledge, the proposed LNA achieves the BW bandwidth and the figure of merit (FoM) among the highest compared to published CMOS LNAs operating at 4 K. The proposed LNA is suitable for both spin and superconducting qubit readout.</t>
  </si>
  <si>
    <t>https://ieeexplore.ieee.org/document/11264819</t>
  </si>
  <si>
    <t>A Stagger-Tuned Cryogenic Broadband CMOS Three-Stage Cascode LNA for Quantum Computing</t>
  </si>
  <si>
    <t>Woong Joo Chang; Junhee Kwon; Geunyong Kim; Insu Jeon; Jaeho Shin; Seong Joong Kim</t>
  </si>
  <si>
    <t>This work presents a cryogenic broadband three-stage cascode low-noise amplifier (LNA) in Samsung 28 nm CMOS for quantum computing. The micro-strip line conductivity was characterized at 4 K, and staggered tuning was applied to achieve flat gain and broad bandwidth. Moreover, self-resonant frequencies (SRFs) of the bypass capacitors were intentionally set at the low-frequency and high-frequency edges of the bandwidth to achieve broadband stability. Operating from 4 to 8 GHz, the LNA achieves 39.1 dB gain at 6.9 GHz, 6.8 GHz, 3-dB bandwidth, and an average 0.45-dB noise figure (NF) at 4 K. This represents the widest reported 3-dB bandwidth among cryogenic CMOS LNAs.</t>
  </si>
  <si>
    <t>https://ieeexplore.ieee.org/document/11272918</t>
  </si>
  <si>
    <t>A 78–106-GHz Current-Reuse LNA With 4-dB Minimum NF and 12.5-mW Power Consumption Based on 130-nm SiGe Technology</t>
  </si>
  <si>
    <t>Liang Zhang; Yunbo Rao; Xu Cheng; Jiangan Han; Xianhu Luo; Xianjin Deng</t>
  </si>
  <si>
    <t>In this letter, a W-band broadband low-noise amplifier (LNA) with low noise figure (NF) and low power consumption is proposed based on a four-stage common-emitter (CE) topology. Noise measure (NM) is adopted as the design method to optimize the overall noise performance. The source degeneration inductor together with the slotted-metal-line-based input network is utilized to achieve the optimum NM and gain matching simultaneously. To enhance power efficiency, a zero-ohm-transmission-line (ZTL)-based current-reuse (CR) technique is employed. For verification, a wideband LNA is fabricated in 130-nm SiGe process with a chip size of 0.57 mm2. The measured results demonstrate a peak small-signal gain of 20.4 dB, a 3-dB gain bandwidth (BW) ranging from 78 to 106 GHz, a minimum NF of 4 dB, an IP1dB exceeding −19.8 dBm, and a power dissipation of 12.5 mW with a supply voltage of 2.5 V. Meanwhile, the proposed LNA exhibits an exceptionally high figure-of-merit (FoM) of 159.4 in terms of gain, BW, NF, and power consumption.</t>
  </si>
  <si>
    <t>https://ieeexplore.ieee.org/document/10843848</t>
  </si>
  <si>
    <t>A 1–15-GHz Low-Power Self-Stabilizing DC-Capacitorless LNA With Tri-Path Dual-Coupling</t>
  </si>
  <si>
    <t>Yuanyuan Wang; Xiaojie Zhang; Kuisong Wang; Yuying Zhang; Jing Wan; Xuming Sun</t>
  </si>
  <si>
    <t>This article presents an ultrawideband (UWB) low-noise amplifier (LNA) designed to extend bandwidth and enhance radio frequency (RF) performance under stringent low-power constraints. A self-stabilizing dc-capacitorless architecture is proposed. By eliminating the conventional dc-blocking capacitor, the amplifier achieves significant improvements in gain and noise figure (NF). A self-stabilizing bias network (SSBN) is incorporated to stabilize the bias voltage and compensate for bias point drift caused by the absence of the dc-blocking capacitor. Furthermore, multiple-resistor feedback and tri-path dual-coupling (TPDC) technique are used to greatly enhance the bandwidth. TPDC is first proposed in this letter to our knowledge. These techniques are adopted in a two-stage monolithic microwave integrated circuit (MMIC) LNA, which is fabricated in a 0.25- μ m GaAs pseudomorphic high-electron-mobility transistor (pHEMT) process. The measured results show a peak gain of 17.7 dB, 1.3-dB minimum NF, and a 3-dB bandwidth of 1–15 GHz with a dc power consumption of only 39.6 mW. The fabricated LNA, including the testing pads, has a chip size of only 0.92 mm2.</t>
  </si>
  <si>
    <t>https://ieeexplore.ieee.org/document/11204462</t>
  </si>
  <si>
    <t>4.1-dB Noise Figure and 20-dB Gain 92–115-GHz GaAs LNA With Hot Via Interconnections</t>
  </si>
  <si>
    <t>Patrick E. Longhi; Sergio Colangeli; Walter Ciccognani; Peiman Parand; Antonio Serino; Ernesto Limiti</t>
  </si>
  <si>
    <t>Advanced interconnect technologies are enabling solutions to obtain adequate low-noise amplifier performance even when the circuit is packaged and connected inside a receiver module. In this letter, we present suitable technology and design solutions of a gallium arsenide low-noise amplifier operating in the telecom W-band (92–115 GHz) featuring 20-dB gain and 4.1-dB noise figure accounting for through-the-substrate RF interconnect (hot vias) effects. To the best of the author’s knowledge, this is the first low-noise amplifier with hot via interconnections operating up to 115 GHz showing characterized data in terms of noise figure and third-order intermodulation.</t>
  </si>
  <si>
    <t>https://ieeexplore.ieee.org/document/10817650</t>
  </si>
  <si>
    <t>Ka-Band Low-Noise-Amplifier MMIC in a 70-nm GaN-on-SiC Technology</t>
  </si>
  <si>
    <t>Beatriz Aja; Luisa de la Fuente; Enrique Villa; Eduardo Artal; Philipp Neininger; Christian Friesicke</t>
  </si>
  <si>
    <r>
      <t xml:space="preserve">This letter presents the design and characterization of a Ka-band low-noise-amplifier (LNA) monolithic microwave integrated circuit (MMIC) implemented on a 70-nm gallium nitride (GaN)-on-SiC high-electron-mobility transistor (HEMT) process. The three-stage LNA combines microstrip and coplanar technologies to minimize the losses before the first transistor and shows an average small-signal gain of </t>
    </r>
    <r>
      <rPr>
        <sz val="13.2"/>
        <color theme="1"/>
        <rFont val="MathJax_Main"/>
      </rPr>
      <t>25 ± 2.5</t>
    </r>
    <r>
      <rPr>
        <sz val="11"/>
        <color theme="1"/>
        <rFont val="Calibri"/>
        <family val="2"/>
        <scheme val="minor"/>
      </rPr>
      <t xml:space="preserve"> dB and an average noise figure (NF) of 1.3 dB from 27 to 40 GHz, with a dc power consumption of 0.311 W. The MMIC was also subject to large signal testing, exhibiting an output power at 1-dB gain compression of 9.9 dBm at 35 GHz and surviving an overdrive continuous wave signal at 26 GHz with a power of up to +25 dBm with no significant S-parameter performance degradation. To the best of our knowledge, this is the first demonstration of a Ka-band MMIC LNA in GaN with average NF 1.3 dB from 27 to 40 GHz.</t>
    </r>
  </si>
  <si>
    <t>https://ieeexplore.ieee.org/document/11248889</t>
  </si>
  <si>
    <t>Low-Noise and High-Survivability 55–65-GHz GaN MMIC LNA for Millimeter-Wave Communications</t>
  </si>
  <si>
    <t>Michael Coffey; Cornelius Chin; Peter Ly; Tamra Yatkin; Andrew Fong; Andrea Arias-Purdue</t>
  </si>
  <si>
    <t>This letter reports the design, fabrication, and measurement of a high-input-power-survivability V-band (operating at 50–70 GHz) GaN monolithic microwave integrated circuit (MMIC) LNA with an average measured noise figure of 2.08 dB in the 55–65-GHz range and a measured noise figure (NF) of 1.97 dB at 65 GHz. The 40-nm-gate-length GaN-on-SiC MMIC process used enables a record low noise figure for high-frequency GaN technology and a high-input-power survivability, ≥27 dBm, not possible on traditional high-performance GaAs and InP MMIC processes. This is a state-of-the-art result in terms of both lowest noise figure and highest survivability for millimeter-wave GaN MMIC LNA. A technique to further improve survivability is implemented and measured. Applications are in terrestrial and spaceborne communication links in contested-spectrum and hostile environments.</t>
  </si>
  <si>
    <t>https://ieeexplore.ieee.org/document/11099007</t>
  </si>
  <si>
    <t>A 0.2–3.2-GHz Active Balun-LNA With 1.4–2.18-dB NF Utilizing Asymmetric Current Distribution in 28-nm CMOS</t>
  </si>
  <si>
    <t>Yunyou Pu; Wei Li; Qiaoan Li; Xingyu Ma; Hongtao Xu</t>
  </si>
  <si>
    <r>
      <t xml:space="preserve">This letter presents a wideband balun low-noise amplifier (LNA) with a proposed asymmetric current distribution for optimizing both noise figure (NF) and power consumption. The approach for enhancing differential balance is also proposed. The wideband balun-LNA was fabricated in 28-nm CMOS technology and achieves a remarkable 1.4–2.18-dB NF over 0.2–3.2 GHz with a power consumption of 17.4 mW from 1.1-V supply voltage. </t>
    </r>
    <r>
      <rPr>
        <i/>
        <sz val="13.2"/>
        <color theme="1"/>
        <rFont val="MathJax_Math"/>
      </rPr>
      <t>S</t>
    </r>
    <r>
      <rPr>
        <sz val="7.75"/>
        <color theme="1"/>
        <rFont val="MathJax_Main"/>
      </rPr>
      <t>11</t>
    </r>
    <r>
      <rPr>
        <sz val="11"/>
        <color theme="1"/>
        <rFont val="Calibri"/>
        <family val="2"/>
        <scheme val="minor"/>
      </rPr>
      <t xml:space="preserve"> is lower than −15.2 dB, and the gain is 24.4–26 dB across the operating bandwidth. The proposed balun-LNA shows an excellent FoM-II.</t>
    </r>
  </si>
  <si>
    <t>https://ieeexplore.ieee.org/document/10837583</t>
  </si>
  <si>
    <t>Wideband CMOS Low-Noise Amplifier Using RC Feedback and Inductor for Resonance</t>
  </si>
  <si>
    <t>Hyojin Yoon; Chaeyun Kim; Bohyeon Kim; Jaeyong Lee; Changkun Park</t>
  </si>
  <si>
    <t>In this study, we design a CMOS wideband low-noise amplifier (LNA) with staggered tuning technique. In a wideband LNA, a design technique that can secure the gain flatness using RC feedback and inductor for resonance is proposed. The common-source (CS) structure with an RC feedback and an inductor is analyzed using equivalent circuits, and it was verified that the gain could be flattened by adjusting the resonance frequency and the resistance of the RC feedback. In addition, a high-pass filter (HPF) structure and an adaptive bias circuit (ABC) are applied to obtain a reasonable noise figure (NF) and linearity in a wide frequency range. A designed wideband LNA is fabricated using 65-nm RFCMOS process. As a measured result, the 1-dB bandwidth is approximately 15.6GHz from 20.1 to 35.7GHz. The 3-dB bandwidth is measured at 18.4 GHz. In the range of 25–35 GHz, the NF is lower than 3.45 dB.</t>
  </si>
  <si>
    <t>https://ieeexplore.ieee.org/document/10948018</t>
  </si>
  <si>
    <t>Design and Analysis of a Millimeter-Wave Wideband GaN LNA With Inductive Feedback Network</t>
  </si>
  <si>
    <t>Wei Huang; Xiaohu Fang</t>
  </si>
  <si>
    <t>This letter presents a novel method for analyzing inductive feedback network (IFN) and assisting the design of high-performance millimeter-wave low-noise amplifiers (LNAs). By constructing contour plots of noise figure (NF) and gain enhancement factor as functions of feedback parameters, the proposed approach visually illustrates the trade-offs among noise, gain, and gain flatness introduced by IFN, thus improving the overall performance. To validate the method, a 10–30 GHz LNA was implemented using a 0.15 μ m GaN HEMT process. Measurement results indicate that the proposed LNA can deliver a flat gain of 26.6 ± 1.5 dB, a low NF of 2.1–3.4 dB, and excellent linearity with an output-referred third-order intercept power (OIP3) of 24–30.7 dBm and 1-dB compression power (OP1dB) of 13.4–21.7 dBm.</t>
  </si>
  <si>
    <t>https://ieeexplore.ieee.org/document/11251377</t>
  </si>
  <si>
    <t>A 5–25.7-GHz CMOS LNA With Weakly Coupled Transformer for X-/Ku-/Ka-Band SATCOM Receivers</t>
  </si>
  <si>
    <t>https://ieeexplore.ieee.org/document/11142828</t>
  </si>
  <si>
    <t>Xuzhi Liu; Fang Han; Zicheng Liu; Xiaoran Li; Xinghua Wang; Zhiming Chen</t>
  </si>
  <si>
    <t>This letter presents a low-noise amplifier (LNA) for multiband satellite communication (SATCOM) applications, featuring a wide effective bandwidth ( BWeff ). Based on a feedback cascode structure, the design methodology to achieve wideband input matching in a multistage LNA is presented. A compact input matching network consisting of a parallel capacitor and a weakly coupled transformer is introduced to generate three distinct peaks in S11 , effectively covering the 3-dB bandwidth ( BW3dB ) of the LNA. The fabricated LNA demonstrates a peak gain of 21.2 dB with a BW3dB from 5 to 25.7 GHz while consuming 16 mW. The noise figure (NF) remains within the range of 2.6–3.8 dB. S11 and S22 are better than –10 dB across 5.2–28 GHz. To the best of the authors’ knowledge, the FoMs of this work are one of the best results reported for CMOS LNAs with such a wide bandwidth.</t>
  </si>
  <si>
    <t>https://ieeexplore.ieee.org/document/10959019</t>
  </si>
  <si>
    <t>A 1.53-mm2 Fully Integrated Wi-Fi 7 Front-End Module With 1.65-dB NF and 41.9% FBW in 0.25-μm GaAs p-HEMT Technology</t>
  </si>
  <si>
    <t>Pengfei Li; Kaixue Ma; Yudan Zhang; Jiaming Zhao; Hao Shi</t>
  </si>
  <si>
    <t>This letter presents a highly integrated front-end module (FEM) in 0.25- μ m gallium arsenide (GaAs) pseudomorphic high-electron-mobility transistor (p-HEMT) process for Wi-Fi 7 applications. The design incorporates a wideband low-noise amplifier (LNA) with a feedforward capacitor structure (FCS) demonstrating 74% fractional bandwidth (FBW) and 1.65–2.3-dB noise figure, a three-stage nonlinear power amplifier (PA) with dynamic bias optimization achieving 16.2–16.5-dBm output power and 8.5% power-added efficiency (PAE) at −43-dB error vector magnitude (EVM) for 320-MHz 4096-QAM signals under digital predistortion (DPD) and a co-designed switch with absorptive electrostatic discharge (ESD) protection supporting human body model (HBM) 2 kV. The measured results show small-signal gains of 11.9–13.9 and 28.5–31.5 dB in receive (RX) and transmit (TX) modes across 4.9–7.5 GHz. Implemented in the smallest reported die area of 0.9×1.7 mm2, this work demonstrates superior integration density and performance for next-generation Wi-Fi systems.</t>
  </si>
  <si>
    <t>A 17–41-GHz GaAs LNA Using Coupling Line-Based Source–Drain Positive Feedback Technique</t>
  </si>
  <si>
    <t>Ruoxuan Wang; Peigen Zhou; Qianqi Meng; Zichun Zheng; Wei Hong</t>
  </si>
  <si>
    <t>This letter presents a wideband low-noise amplifier (LNA) based on the GaAs process. Balancing the bandwidth, gain, and noise of traditional GaAs common-source LNAs is demanding due to transistors and matching networks. In order to improve the gain and noise performance of the LNA, a coupled line-based source–drain positive feedback (CL-SDPF) technique is proposed in the first stage amplifier unit of the LNA. Benefiting from the RLC negative feedback technology and the interstage gain staggered peak matching technology used in the second- and third-stage amplification cores, the working bandwidth of the LNA is significantly enhanced. These techniques are applied to a 17–41-GHz LNA fabricated in 0.1- μ m GaAs pHEMT technology. The proposed LNA demonstrates a well-balanced performance with a measured gain of 21.6–24.5 dB, a noise figure (NF) of 1.5–2.1 dB, and a power consumption of 60 mW under 2-V supply voltage, confirming its suitability for wideband receiver applications. A gain increase of 1 dB results from positive feedback.</t>
  </si>
  <si>
    <t>https://ieeexplore.ieee.org/document/11165364</t>
  </si>
  <si>
    <t>A 57–110-GHz LNA With Novel Bandwidth Enhancement Technique in 130-nm SiGe BiCMOS</t>
  </si>
  <si>
    <t>Zhan Chen; Chun-Xia Zhou; Guoxiao Cheng; Wei Kang; Wen Wu; Zhou Shu</t>
  </si>
  <si>
    <r>
      <t xml:space="preserve">This letter presents a novel design method for wideband low-noise amplifiers (LNAs), which decouples the realization procedure of input noise matching, input impedance matching, and gain flatness. The input matching network is designed to realize wideband noise matching. Then, the degeneration inductor and T-type interstage matching network with magnetic coupling are employed to meet the required range of the interstage impedance mismatch level to achieve wide input impedance bandwidth. The gain bandwidth is enhanced by designing the impedance mismatch related to output matching network, without affecting the input matching. For demonstration, a three-stage E-/W-band LNA has been implemented using a 0.13- </t>
    </r>
    <r>
      <rPr>
        <i/>
        <sz val="13.2"/>
        <color theme="1"/>
        <rFont val="MathJax_Math"/>
      </rPr>
      <t>μ</t>
    </r>
    <r>
      <rPr>
        <sz val="11"/>
        <color theme="1"/>
        <rFont val="Calibri"/>
        <family val="2"/>
        <scheme val="minor"/>
      </rPr>
      <t xml:space="preserve"> m SiGe BiCMOS technology. The LNA achieves a peak gain of 24.1 dB with a 3-dB gain bandwidth of 53 GHz, less than −10-dB </t>
    </r>
    <r>
      <rPr>
        <sz val="13.2"/>
        <color theme="1"/>
        <rFont val="MathJax_Main"/>
      </rPr>
      <t>|</t>
    </r>
    <r>
      <rPr>
        <i/>
        <sz val="13.2"/>
        <color theme="1"/>
        <rFont val="MathJax_Math"/>
      </rPr>
      <t>S</t>
    </r>
    <r>
      <rPr>
        <sz val="7.75"/>
        <color theme="1"/>
        <rFont val="MathJax_Main"/>
      </rPr>
      <t>11</t>
    </r>
    <r>
      <rPr>
        <sz val="13.2"/>
        <color theme="1"/>
        <rFont val="MathJax_Main"/>
      </rPr>
      <t>|</t>
    </r>
    <r>
      <rPr>
        <sz val="11"/>
        <color theme="1"/>
        <rFont val="Calibri"/>
        <family val="2"/>
        <scheme val="minor"/>
      </rPr>
      <t xml:space="preserve"> bandwidth of 50 GHz, and a low noise figure (NF) ranging from 3.8 to 6.9 dB across the W-band, while consuming power of 23 mW</t>
    </r>
  </si>
  <si>
    <t>https://ieeexplore.ieee.org/document/11226825</t>
  </si>
  <si>
    <t>A broadband cascode distributed low-noise amplifier (CDLNA) with a wide operating temperature range is proposed in this work. A series of diodes are used as bias networks to achieve temperature compensation. To enhance the gain level in the passband, the negative resistance network is employed to offset drain transmission line losses. An attenuator based on reverse-biased diodes and resistors is designed to improve stability across the wideband. The circuit is implemented using a 0.15- μ m GaAs pHEMT process with a chip area of 2.6×1.55 mm2. Test results show that the CDLNA achieves an average gain of 17.5 dB, a linearity index OP1 dB of 14.0 dBm, a minimum noise figure (NF) of 1.2 dB, and an operating frequency range of 0.3–28 GHz. The operating temperature range is -55 °C to 85 °C, within which the gain variation is less than 742 ppm/°C, and the NF variation is less than 2667 ppm/°C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</si>
</sst>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46">
    <font>
      <sz val="11"/>
      <color theme="1"/>
      <name val="Calibri"/>
      <family val="2"/>
      <scheme val="minor"/>
    </font>
    <font>
      <u/>
      <sz val="11"/>
      <color theme="10"/>
      <name val="Calibri"/>
      <family val="2"/>
      <scheme val="minor"/>
    </font>
    <font>
      <sz val="10"/>
      <color theme="1"/>
      <name val="Calibri"/>
      <family val="2"/>
      <scheme val="minor"/>
    </font>
    <font>
      <sz val="10"/>
      <color rgb="FF333333"/>
      <name val="Arial"/>
      <family val="2"/>
    </font>
    <font>
      <sz val="11"/>
      <color rgb="FF333333"/>
      <name val="Calibri"/>
      <family val="2"/>
      <scheme val="minor"/>
    </font>
    <font>
      <i/>
      <sz val="11"/>
      <color rgb="FF333333"/>
      <name val="Calibri"/>
      <family val="2"/>
      <scheme val="minor"/>
    </font>
    <font>
      <sz val="10"/>
      <color rgb="FF006699"/>
      <name val="Arial"/>
      <family val="2"/>
    </font>
    <font>
      <sz val="10"/>
      <color rgb="FFFFFFFF"/>
      <name val="Arial"/>
      <family val="2"/>
    </font>
    <font>
      <sz val="11"/>
      <name val="Calibri"/>
      <family val="2"/>
      <scheme val="minor"/>
    </font>
    <font>
      <sz val="8"/>
      <color rgb="FF333333"/>
      <name val="Calibri"/>
      <family val="2"/>
      <scheme val="minor"/>
    </font>
    <font>
      <sz val="11"/>
      <color rgb="FFFFFFFF"/>
      <name val="Calibri"/>
      <family val="2"/>
      <scheme val="minor"/>
    </font>
    <font>
      <sz val="11"/>
      <color theme="1"/>
      <name val="Calibri"/>
      <family val="2"/>
      <scheme val="minor"/>
    </font>
    <font>
      <sz val="11"/>
      <color theme="1"/>
      <name val="Calibri"/>
      <family val="2"/>
    </font>
    <font>
      <u/>
      <sz val="11"/>
      <color theme="1"/>
      <name val="Calibri"/>
      <family val="2"/>
      <scheme val="minor"/>
    </font>
    <font>
      <sz val="12"/>
      <color theme="1"/>
      <name val="Calibri"/>
      <family val="2"/>
      <scheme val="minor"/>
    </font>
    <font>
      <sz val="11"/>
      <color rgb="FFFF0000"/>
      <name val="Calibri"/>
      <family val="2"/>
      <scheme val="minor"/>
    </font>
    <font>
      <sz val="10"/>
      <color rgb="FFFF0000"/>
      <name val="Arial"/>
      <family val="2"/>
    </font>
    <font>
      <sz val="12"/>
      <name val="Calibri"/>
      <family val="2"/>
      <scheme val="minor"/>
    </font>
    <font>
      <sz val="8"/>
      <name val="Calibri"/>
      <family val="2"/>
      <scheme val="minor"/>
    </font>
    <font>
      <sz val="11"/>
      <color rgb="FF333333"/>
      <name val="Arial"/>
      <family val="2"/>
    </font>
    <font>
      <sz val="8"/>
      <color rgb="FF333333"/>
      <name val="Arial"/>
      <family val="2"/>
    </font>
    <font>
      <vertAlign val="superscript"/>
      <sz val="11"/>
      <color rgb="FF333333"/>
      <name val="Calibri"/>
      <family val="2"/>
      <scheme val="minor"/>
    </font>
    <font>
      <sz val="11"/>
      <color theme="4" tint="0.39997558519241921"/>
      <name val="Calibri"/>
      <family val="2"/>
      <scheme val="minor"/>
    </font>
    <font>
      <sz val="10"/>
      <name val="Arial"/>
      <family val="2"/>
    </font>
    <font>
      <b/>
      <sz val="11"/>
      <color theme="1"/>
      <name val="Calibri"/>
      <family val="2"/>
      <scheme val="minor"/>
    </font>
    <font>
      <sz val="14"/>
      <color rgb="FF333333"/>
      <name val="Calibri"/>
      <family val="2"/>
      <scheme val="minor"/>
    </font>
    <font>
      <b/>
      <sz val="11"/>
      <color rgb="FFFF0000"/>
      <name val="Calibri"/>
      <family val="2"/>
      <scheme val="minor"/>
    </font>
    <font>
      <vertAlign val="superscript"/>
      <sz val="11"/>
      <color rgb="FFFF0000"/>
      <name val="Calibri"/>
      <family val="2"/>
      <scheme val="minor"/>
    </font>
    <font>
      <sz val="11"/>
      <color rgb="FF00B050"/>
      <name val="Calibri"/>
      <family val="2"/>
      <scheme val="minor"/>
    </font>
    <font>
      <sz val="11"/>
      <color theme="1"/>
      <name val="Times New Roman"/>
      <family val="1"/>
    </font>
    <font>
      <sz val="9"/>
      <color theme="1"/>
      <name val="Times New Roman"/>
      <family val="1"/>
    </font>
    <font>
      <sz val="11"/>
      <color theme="1"/>
      <name val="Arial"/>
      <family val="2"/>
    </font>
    <font>
      <vertAlign val="superscript"/>
      <sz val="11"/>
      <color theme="1"/>
      <name val="Calibri"/>
      <family val="2"/>
      <scheme val="minor"/>
    </font>
    <font>
      <i/>
      <sz val="13.2"/>
      <color theme="1"/>
      <name val="MathJax_Math"/>
    </font>
    <font>
      <vertAlign val="subscript"/>
      <sz val="11"/>
      <color theme="1"/>
      <name val="Calibri"/>
      <family val="2"/>
      <scheme val="minor"/>
    </font>
    <font>
      <sz val="7.75"/>
      <color theme="1"/>
      <name val="MathJax_Main"/>
    </font>
    <font>
      <sz val="13.2"/>
      <color theme="1"/>
      <name val="MathJax_Main"/>
    </font>
    <font>
      <sz val="11"/>
      <color theme="7" tint="-0.249977111117893"/>
      <name val="Calibri"/>
      <family val="2"/>
      <scheme val="minor"/>
    </font>
    <font>
      <sz val="10"/>
      <color rgb="FFFF0000"/>
      <name val="Calibri"/>
      <family val="2"/>
      <scheme val="minor"/>
    </font>
    <font>
      <sz val="10"/>
      <name val="Calibri"/>
      <family val="2"/>
      <scheme val="minor"/>
    </font>
    <font>
      <sz val="10"/>
      <color theme="4" tint="0.39997558519241921"/>
      <name val="Calibri"/>
      <family val="2"/>
      <scheme val="minor"/>
    </font>
    <font>
      <i/>
      <sz val="7.75"/>
      <color theme="1"/>
      <name val="MathJax_Math"/>
    </font>
    <font>
      <sz val="13.2"/>
      <color theme="1"/>
      <name val="MathJax_SansSerif"/>
    </font>
    <font>
      <sz val="7.75"/>
      <color theme="1"/>
      <name val="MathJax_SansSerif"/>
    </font>
    <font>
      <b/>
      <sz val="13.2"/>
      <color theme="1"/>
      <name val="MathJax_Main"/>
    </font>
    <font>
      <b/>
      <sz val="7.75"/>
      <color theme="1"/>
      <name val="MathJax_Main"/>
    </font>
  </fonts>
  <fills count="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30">
    <xf numFmtId="0" fontId="0" fillId="0" borderId="0" xfId="0"/>
    <xf numFmtId="0" fontId="0" fillId="0" borderId="0" xfId="0" applyAlignment="1">
      <alignment horizontal="center"/>
    </xf>
    <xf numFmtId="14" fontId="0" fillId="0" borderId="0" xfId="0" applyNumberFormat="1"/>
    <xf numFmtId="0" fontId="0" fillId="0" borderId="0" xfId="0" quotePrefix="1"/>
    <xf numFmtId="0" fontId="1" fillId="0" borderId="0" xfId="1"/>
    <xf numFmtId="0" fontId="2" fillId="0" borderId="0" xfId="0" applyFont="1"/>
    <xf numFmtId="0" fontId="0" fillId="0" borderId="0" xfId="0" quotePrefix="1" applyAlignment="1">
      <alignment horizontal="center"/>
    </xf>
    <xf numFmtId="0" fontId="4" fillId="0" borderId="0" xfId="0" applyFont="1"/>
    <xf numFmtId="0" fontId="4" fillId="0" borderId="0" xfId="0" applyFont="1" applyAlignment="1">
      <alignment vertical="center"/>
    </xf>
    <xf numFmtId="0" fontId="0" fillId="0" borderId="0" xfId="0" applyAlignment="1">
      <alignment horizontal="right"/>
    </xf>
    <xf numFmtId="0" fontId="0" fillId="0" borderId="0" xfId="0" quotePrefix="1" applyAlignment="1">
      <alignment horizontal="right"/>
    </xf>
    <xf numFmtId="0" fontId="6" fillId="0" borderId="0" xfId="0" applyFont="1"/>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49" fontId="0" fillId="0" borderId="0" xfId="0" applyNumberFormat="1" applyAlignment="1">
      <alignment horizontal="center"/>
    </xf>
    <xf numFmtId="0" fontId="8" fillId="0" borderId="0" xfId="0" quotePrefix="1" applyFont="1" applyAlignment="1">
      <alignment vertical="center"/>
    </xf>
    <xf numFmtId="0" fontId="10" fillId="0" borderId="0" xfId="0" quotePrefix="1" applyFont="1" applyAlignment="1">
      <alignment horizontal="left" vertical="center"/>
    </xf>
    <xf numFmtId="0" fontId="10" fillId="0" borderId="0" xfId="0" applyFont="1" applyAlignment="1">
      <alignment horizontal="center" vertical="center"/>
    </xf>
    <xf numFmtId="0" fontId="8" fillId="0" borderId="0" xfId="1" applyFont="1" applyAlignment="1">
      <alignment horizontal="center" vertical="center"/>
    </xf>
    <xf numFmtId="0" fontId="8" fillId="0" borderId="0" xfId="1" quotePrefix="1"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xf>
    <xf numFmtId="0" fontId="0" fillId="0" borderId="0" xfId="0" applyAlignment="1">
      <alignment horizontal="center" vertical="center"/>
    </xf>
    <xf numFmtId="0" fontId="0" fillId="0" borderId="0" xfId="1" quotePrefix="1" applyFont="1"/>
    <xf numFmtId="0" fontId="11" fillId="0" borderId="0" xfId="1" quotePrefix="1" applyFont="1"/>
    <xf numFmtId="0" fontId="4" fillId="0" borderId="0" xfId="0" applyFont="1" applyAlignment="1" applyProtection="1">
      <alignment vertical="center"/>
      <protection locked="0"/>
    </xf>
    <xf numFmtId="0" fontId="8" fillId="0" borderId="0" xfId="0" applyFont="1" applyAlignment="1">
      <alignment horizontal="center"/>
    </xf>
    <xf numFmtId="0" fontId="8" fillId="0" borderId="0" xfId="1" applyFont="1" applyAlignment="1">
      <alignment horizontal="center"/>
    </xf>
    <xf numFmtId="0" fontId="8" fillId="0" borderId="0" xfId="0" quotePrefix="1" applyFont="1" applyAlignment="1">
      <alignment horizontal="center"/>
    </xf>
    <xf numFmtId="0" fontId="3" fillId="0" borderId="0" xfId="0" quotePrefix="1" applyFont="1" applyAlignment="1">
      <alignment vertical="center"/>
    </xf>
    <xf numFmtId="0" fontId="0" fillId="0" borderId="0" xfId="0" quotePrefix="1" applyAlignment="1">
      <alignment horizontal="center" vertical="center"/>
    </xf>
    <xf numFmtId="0" fontId="11" fillId="0" borderId="0" xfId="1" applyFont="1" applyAlignment="1">
      <alignment horizontal="center"/>
    </xf>
    <xf numFmtId="0" fontId="0" fillId="0" borderId="0" xfId="0" applyAlignment="1">
      <alignment vertical="center"/>
    </xf>
    <xf numFmtId="0" fontId="11" fillId="0" borderId="0" xfId="1" quotePrefix="1" applyFont="1" applyAlignment="1">
      <alignment horizontal="center" vertical="center"/>
    </xf>
    <xf numFmtId="0" fontId="0" fillId="0" borderId="0" xfId="0" quotePrefix="1" applyAlignment="1">
      <alignment horizontal="left" vertical="center"/>
    </xf>
    <xf numFmtId="0" fontId="11" fillId="0" borderId="0" xfId="1" quotePrefix="1" applyFont="1" applyAlignment="1">
      <alignment horizontal="center"/>
    </xf>
    <xf numFmtId="0" fontId="0" fillId="0" borderId="0" xfId="0" quotePrefix="1" applyAlignment="1">
      <alignment vertical="center"/>
    </xf>
    <xf numFmtId="0" fontId="11" fillId="0" borderId="0" xfId="1" applyFont="1" applyAlignment="1">
      <alignment horizontal="center" vertical="center"/>
    </xf>
    <xf numFmtId="0" fontId="8" fillId="0" borderId="0" xfId="0" applyFont="1"/>
    <xf numFmtId="0" fontId="8" fillId="0" borderId="0" xfId="0" quotePrefix="1" applyFont="1" applyAlignment="1">
      <alignment horizontal="center" vertical="center"/>
    </xf>
    <xf numFmtId="14" fontId="14" fillId="2" borderId="0" xfId="0" applyNumberFormat="1" applyFont="1" applyFill="1"/>
    <xf numFmtId="0" fontId="14" fillId="2" borderId="0" xfId="0" applyFont="1" applyFill="1"/>
    <xf numFmtId="0" fontId="14" fillId="2" borderId="0" xfId="0" quotePrefix="1" applyFont="1" applyFill="1"/>
    <xf numFmtId="0" fontId="15" fillId="3" borderId="0" xfId="0" applyFont="1" applyFill="1"/>
    <xf numFmtId="0" fontId="17" fillId="3" borderId="0" xfId="0" applyFont="1" applyFill="1"/>
    <xf numFmtId="0" fontId="0" fillId="3" borderId="0" xfId="0" applyFill="1"/>
    <xf numFmtId="0" fontId="14" fillId="3" borderId="0" xfId="0" applyFont="1" applyFill="1"/>
    <xf numFmtId="0" fontId="6" fillId="3" borderId="0" xfId="0" applyFont="1" applyFill="1"/>
    <xf numFmtId="17" fontId="0" fillId="0" borderId="0" xfId="0" quotePrefix="1" applyNumberFormat="1" applyAlignment="1">
      <alignment horizontal="left"/>
    </xf>
    <xf numFmtId="17" fontId="0" fillId="0" borderId="0" xfId="0" quotePrefix="1" applyNumberFormat="1"/>
    <xf numFmtId="0" fontId="4" fillId="0" borderId="0" xfId="0" applyFont="1" applyAlignment="1">
      <alignment vertical="center" wrapText="1"/>
    </xf>
    <xf numFmtId="0" fontId="19" fillId="0" borderId="0" xfId="0" applyFont="1"/>
    <xf numFmtId="0" fontId="8" fillId="2" borderId="0" xfId="0" applyFont="1" applyFill="1"/>
    <xf numFmtId="0" fontId="0" fillId="2" borderId="0" xfId="0" applyFill="1"/>
    <xf numFmtId="0" fontId="22" fillId="3" borderId="0" xfId="0" applyFont="1" applyFill="1"/>
    <xf numFmtId="0" fontId="8" fillId="3" borderId="0" xfId="0" applyFont="1" applyFill="1"/>
    <xf numFmtId="0" fontId="14" fillId="2" borderId="0" xfId="0" applyFont="1" applyFill="1" applyAlignment="1">
      <alignment horizontal="center"/>
    </xf>
    <xf numFmtId="0" fontId="23"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vertical="center"/>
    </xf>
    <xf numFmtId="0" fontId="0" fillId="0" borderId="0" xfId="0" quotePrefix="1" applyAlignment="1">
      <alignment horizontal="center" vertical="top" wrapText="1"/>
    </xf>
    <xf numFmtId="0" fontId="0" fillId="0" borderId="0" xfId="0" applyAlignment="1">
      <alignment horizontal="center" vertical="top" wrapText="1"/>
    </xf>
    <xf numFmtId="0" fontId="0" fillId="0" borderId="0" xfId="0" applyAlignment="1">
      <alignment wrapText="1"/>
    </xf>
    <xf numFmtId="0" fontId="1" fillId="0" borderId="0" xfId="1" quotePrefix="1"/>
    <xf numFmtId="0" fontId="0" fillId="0" borderId="0" xfId="1" applyFont="1" applyAlignment="1">
      <alignment horizontal="center" vertical="center"/>
    </xf>
    <xf numFmtId="0" fontId="1" fillId="0" borderId="0" xfId="1" applyFill="1"/>
    <xf numFmtId="0" fontId="7" fillId="3" borderId="0" xfId="0" applyFont="1" applyFill="1" applyAlignment="1">
      <alignment horizontal="center" vertical="center"/>
    </xf>
    <xf numFmtId="2" fontId="2" fillId="0" borderId="0" xfId="0" applyNumberFormat="1" applyFont="1"/>
    <xf numFmtId="1" fontId="2" fillId="0" borderId="0" xfId="0" applyNumberFormat="1" applyFont="1"/>
    <xf numFmtId="0" fontId="24" fillId="0" borderId="0" xfId="0" applyFont="1"/>
    <xf numFmtId="0" fontId="0" fillId="4" borderId="0" xfId="0" applyFill="1"/>
    <xf numFmtId="0" fontId="0" fillId="5" borderId="0" xfId="0" applyFill="1"/>
    <xf numFmtId="0" fontId="26" fillId="0" borderId="0" xfId="0" applyFont="1"/>
    <xf numFmtId="0" fontId="15" fillId="0" borderId="0" xfId="0" applyFont="1"/>
    <xf numFmtId="0" fontId="0" fillId="5" borderId="0" xfId="0" applyFill="1" applyAlignment="1">
      <alignment wrapText="1"/>
    </xf>
    <xf numFmtId="0" fontId="8" fillId="0" borderId="0" xfId="1" quotePrefix="1" applyFont="1" applyAlignment="1">
      <alignment horizontal="center"/>
    </xf>
    <xf numFmtId="0" fontId="4" fillId="0" borderId="0" xfId="0" quotePrefix="1" applyFont="1"/>
    <xf numFmtId="0" fontId="8" fillId="0" borderId="0" xfId="1" applyFont="1"/>
    <xf numFmtId="0" fontId="12" fillId="0" borderId="0" xfId="0" applyFont="1" applyAlignment="1">
      <alignment horizontal="right"/>
    </xf>
    <xf numFmtId="17" fontId="0" fillId="0" borderId="0" xfId="0" applyNumberFormat="1"/>
    <xf numFmtId="0" fontId="29" fillId="0" borderId="0" xfId="0" applyFont="1"/>
    <xf numFmtId="164" fontId="0" fillId="0" borderId="0" xfId="0" applyNumberFormat="1" applyAlignment="1">
      <alignment horizontal="left"/>
    </xf>
    <xf numFmtId="0" fontId="1" fillId="0" borderId="0" xfId="1" applyFill="1" applyBorder="1"/>
    <xf numFmtId="15" fontId="0" fillId="0" borderId="0" xfId="0" applyNumberFormat="1"/>
    <xf numFmtId="0" fontId="0" fillId="6" borderId="0" xfId="0" applyFill="1"/>
    <xf numFmtId="14" fontId="0" fillId="6" borderId="0" xfId="0" applyNumberFormat="1" applyFill="1"/>
    <xf numFmtId="0" fontId="0" fillId="6" borderId="0" xfId="0" applyFill="1" applyAlignment="1">
      <alignment horizontal="center"/>
    </xf>
    <xf numFmtId="0" fontId="1" fillId="6" borderId="0" xfId="1" applyFill="1"/>
    <xf numFmtId="0" fontId="8" fillId="5" borderId="0" xfId="0" applyFont="1" applyFill="1"/>
    <xf numFmtId="0" fontId="15" fillId="5" borderId="0" xfId="0" applyFont="1" applyFill="1"/>
    <xf numFmtId="16" fontId="12" fillId="0" borderId="0" xfId="0" quotePrefix="1" applyNumberFormat="1" applyFont="1" applyAlignment="1">
      <alignment horizontal="right"/>
    </xf>
    <xf numFmtId="16" fontId="0" fillId="0" borderId="0" xfId="0" applyNumberFormat="1" applyAlignment="1">
      <alignment horizontal="right"/>
    </xf>
    <xf numFmtId="0" fontId="0" fillId="3" borderId="0" xfId="0" applyFill="1" applyAlignment="1">
      <alignment horizontal="center"/>
    </xf>
    <xf numFmtId="0" fontId="8" fillId="2" borderId="0" xfId="0" applyFont="1" applyFill="1" applyAlignment="1">
      <alignment horizontal="center"/>
    </xf>
    <xf numFmtId="0" fontId="0" fillId="2" borderId="0" xfId="0" applyFill="1" applyAlignment="1">
      <alignment horizontal="center"/>
    </xf>
    <xf numFmtId="0" fontId="22" fillId="3" borderId="0" xfId="0" applyFont="1" applyFill="1" applyAlignment="1">
      <alignment horizontal="center"/>
    </xf>
    <xf numFmtId="0" fontId="1" fillId="3" borderId="0" xfId="1" applyFill="1" applyAlignment="1">
      <alignment horizontal="center"/>
    </xf>
    <xf numFmtId="0" fontId="1" fillId="0" borderId="0" xfId="1" applyAlignment="1">
      <alignment horizontal="center"/>
    </xf>
    <xf numFmtId="0" fontId="3" fillId="0" borderId="0" xfId="0" applyFont="1" applyAlignment="1">
      <alignment horizontal="center" vertical="center"/>
    </xf>
    <xf numFmtId="0" fontId="6" fillId="3" borderId="0" xfId="0" applyFont="1" applyFill="1" applyAlignment="1">
      <alignment horizontal="center"/>
    </xf>
    <xf numFmtId="0" fontId="6" fillId="0" borderId="0" xfId="0" applyFont="1" applyAlignment="1">
      <alignment horizontal="center" vertical="center"/>
    </xf>
    <xf numFmtId="0" fontId="1" fillId="0" borderId="0" xfId="1" applyAlignment="1"/>
    <xf numFmtId="0" fontId="1" fillId="0" borderId="0" xfId="1" applyFill="1" applyAlignment="1"/>
    <xf numFmtId="164" fontId="0" fillId="0" borderId="0" xfId="0" quotePrefix="1" applyNumberFormat="1" applyAlignment="1">
      <alignment horizontal="left"/>
    </xf>
    <xf numFmtId="17" fontId="0" fillId="0" borderId="0" xfId="0" applyNumberFormat="1" applyAlignment="1">
      <alignment wrapText="1"/>
    </xf>
    <xf numFmtId="0" fontId="0" fillId="0" borderId="0" xfId="0" applyAlignment="1">
      <alignment horizontal="center" wrapText="1"/>
    </xf>
    <xf numFmtId="0" fontId="8" fillId="0" borderId="0" xfId="1" quotePrefix="1" applyFont="1" applyAlignment="1"/>
    <xf numFmtId="0" fontId="3" fillId="0" borderId="0" xfId="0" quotePrefix="1" applyFont="1"/>
    <xf numFmtId="0" fontId="11" fillId="0" borderId="0" xfId="1" quotePrefix="1" applyFont="1" applyAlignment="1"/>
    <xf numFmtId="0" fontId="31" fillId="0" borderId="0" xfId="0" applyFont="1"/>
    <xf numFmtId="0" fontId="15" fillId="3" borderId="0" xfId="0" applyFont="1" applyFill="1" applyAlignment="1">
      <alignment horizontal="center"/>
    </xf>
    <xf numFmtId="0" fontId="2" fillId="0" borderId="0" xfId="0" applyFont="1" applyAlignment="1">
      <alignment horizontal="center"/>
    </xf>
    <xf numFmtId="0" fontId="16" fillId="3" borderId="0" xfId="0" applyFont="1" applyFill="1" applyAlignment="1">
      <alignment horizontal="center" vertical="center"/>
    </xf>
    <xf numFmtId="11" fontId="0" fillId="0" borderId="0" xfId="0" applyNumberFormat="1" applyAlignment="1">
      <alignment horizontal="center"/>
    </xf>
    <xf numFmtId="0" fontId="2" fillId="2" borderId="0" xfId="0" applyFont="1" applyFill="1" applyAlignment="1">
      <alignment horizontal="center"/>
    </xf>
    <xf numFmtId="1" fontId="2" fillId="2" borderId="0" xfId="0" applyNumberFormat="1" applyFont="1" applyFill="1" applyAlignment="1">
      <alignment horizontal="center"/>
    </xf>
    <xf numFmtId="2" fontId="2" fillId="2" borderId="0" xfId="0" applyNumberFormat="1" applyFont="1" applyFill="1" applyAlignment="1">
      <alignment horizontal="center"/>
    </xf>
    <xf numFmtId="2" fontId="2" fillId="0" borderId="0" xfId="0" applyNumberFormat="1" applyFont="1" applyAlignment="1">
      <alignment horizontal="center"/>
    </xf>
    <xf numFmtId="1" fontId="2" fillId="0" borderId="0" xfId="0" applyNumberFormat="1" applyFont="1" applyAlignment="1">
      <alignment horizontal="center"/>
    </xf>
    <xf numFmtId="0" fontId="38" fillId="3" borderId="0" xfId="0" applyFont="1" applyFill="1" applyAlignment="1">
      <alignment horizontal="center"/>
    </xf>
    <xf numFmtId="0" fontId="39" fillId="2" borderId="0" xfId="0" applyFont="1" applyFill="1" applyAlignment="1">
      <alignment horizontal="center"/>
    </xf>
    <xf numFmtId="2" fontId="2" fillId="0" borderId="0" xfId="0" applyNumberFormat="1" applyFont="1" applyAlignment="1">
      <alignment horizontal="center" wrapText="1"/>
    </xf>
    <xf numFmtId="1" fontId="2" fillId="0" borderId="0" xfId="0" applyNumberFormat="1" applyFont="1" applyAlignment="1">
      <alignment horizontal="center" wrapText="1"/>
    </xf>
    <xf numFmtId="0" fontId="40" fillId="3" borderId="0" xfId="0" applyFont="1" applyFill="1" applyAlignment="1">
      <alignment horizontal="center"/>
    </xf>
    <xf numFmtId="0" fontId="2" fillId="3" borderId="0" xfId="0" applyFont="1" applyFill="1" applyAlignment="1">
      <alignment horizontal="center"/>
    </xf>
    <xf numFmtId="0" fontId="1" fillId="0" borderId="0" xfId="1" quotePrefix="1" applyAlignment="1">
      <alignment horizontal="center"/>
    </xf>
    <xf numFmtId="0" fontId="6" fillId="2" borderId="0" xfId="0" applyFont="1" applyFill="1" applyAlignment="1">
      <alignment horizontal="center"/>
    </xf>
    <xf numFmtId="0" fontId="8" fillId="0" borderId="0" xfId="0" applyFont="1" applyAlignment="1">
      <alignment horizontal="left" vertical="center"/>
    </xf>
    <xf numFmtId="0" fontId="0"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0048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4.xml"/><Relationship Id="rId5" Type="http://schemas.openxmlformats.org/officeDocument/2006/relationships/worksheet" Target="worksheets/sheet5.xml"/><Relationship Id="rId15" Type="http://schemas.openxmlformats.org/officeDocument/2006/relationships/worksheet" Target="worksheets/sheet10.xml"/><Relationship Id="rId10" Type="http://schemas.openxmlformats.org/officeDocument/2006/relationships/chartsheet" Target="chartsheets/sheet3.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90117312280968E-2"/>
          <c:y val="2.2199223170204795E-2"/>
          <c:w val="0.86814075166962867"/>
          <c:h val="0.92491609345157877"/>
        </c:manualLayout>
      </c:layout>
      <c:scatterChart>
        <c:scatterStyle val="lineMarker"/>
        <c:varyColors val="0"/>
        <c:ser>
          <c:idx val="0"/>
          <c:order val="0"/>
          <c:tx>
            <c:strRef>
              <c:f>CMOS!$T$1</c:f>
              <c:strCache>
                <c:ptCount val="1"/>
                <c:pt idx="0">
                  <c:v>FOM_N</c:v>
                </c:pt>
              </c:strCache>
            </c:strRef>
          </c:tx>
          <c:spPr>
            <a:ln w="19050" cap="rnd">
              <a:noFill/>
              <a:round/>
            </a:ln>
            <a:effectLst/>
          </c:spPr>
          <c:marker>
            <c:symbol val="circle"/>
            <c:size val="5"/>
            <c:spPr>
              <a:solidFill>
                <a:schemeClr val="accent1"/>
              </a:solidFill>
              <a:ln w="9525">
                <a:solidFill>
                  <a:schemeClr val="accent1"/>
                </a:solidFill>
              </a:ln>
              <a:effectLst/>
            </c:spPr>
          </c:marker>
          <c:xVal>
            <c:numRef>
              <c:f>CMOS!$G$2:$G$1635</c:f>
              <c:numCache>
                <c:formatCode>General</c:formatCode>
                <c:ptCount val="1634"/>
                <c:pt idx="1">
                  <c:v>0.9</c:v>
                </c:pt>
                <c:pt idx="2">
                  <c:v>5.25</c:v>
                </c:pt>
                <c:pt idx="3">
                  <c:v>5.25</c:v>
                </c:pt>
                <c:pt idx="4">
                  <c:v>0.9</c:v>
                </c:pt>
                <c:pt idx="5">
                  <c:v>5.2</c:v>
                </c:pt>
                <c:pt idx="6">
                  <c:v>5.2</c:v>
                </c:pt>
                <c:pt idx="7">
                  <c:v>2.14</c:v>
                </c:pt>
                <c:pt idx="8">
                  <c:v>2</c:v>
                </c:pt>
                <c:pt idx="9">
                  <c:v>5.8</c:v>
                </c:pt>
                <c:pt idx="10">
                  <c:v>5.5</c:v>
                </c:pt>
                <c:pt idx="11">
                  <c:v>5.5</c:v>
                </c:pt>
                <c:pt idx="12">
                  <c:v>10.35</c:v>
                </c:pt>
                <c:pt idx="13">
                  <c:v>0.9</c:v>
                </c:pt>
                <c:pt idx="14">
                  <c:v>5</c:v>
                </c:pt>
                <c:pt idx="15">
                  <c:v>5.8</c:v>
                </c:pt>
                <c:pt idx="16">
                  <c:v>2.4</c:v>
                </c:pt>
                <c:pt idx="17">
                  <c:v>2.4</c:v>
                </c:pt>
                <c:pt idx="18">
                  <c:v>2.75</c:v>
                </c:pt>
                <c:pt idx="19">
                  <c:v>6</c:v>
                </c:pt>
                <c:pt idx="20">
                  <c:v>4.5999999999999996</c:v>
                </c:pt>
                <c:pt idx="21">
                  <c:v>1.7</c:v>
                </c:pt>
                <c:pt idx="22">
                  <c:v>5.25</c:v>
                </c:pt>
                <c:pt idx="23">
                  <c:v>5.05</c:v>
                </c:pt>
                <c:pt idx="24">
                  <c:v>4.9000000000000004</c:v>
                </c:pt>
                <c:pt idx="25">
                  <c:v>58.5</c:v>
                </c:pt>
                <c:pt idx="26">
                  <c:v>2.15</c:v>
                </c:pt>
                <c:pt idx="27">
                  <c:v>5</c:v>
                </c:pt>
                <c:pt idx="28">
                  <c:v>5</c:v>
                </c:pt>
                <c:pt idx="29">
                  <c:v>40</c:v>
                </c:pt>
                <c:pt idx="30">
                  <c:v>25.5</c:v>
                </c:pt>
                <c:pt idx="31">
                  <c:v>15.25</c:v>
                </c:pt>
                <c:pt idx="32">
                  <c:v>0.52400000000000002</c:v>
                </c:pt>
                <c:pt idx="33">
                  <c:v>51.375</c:v>
                </c:pt>
                <c:pt idx="34">
                  <c:v>39</c:v>
                </c:pt>
                <c:pt idx="35">
                  <c:v>1.95</c:v>
                </c:pt>
                <c:pt idx="36">
                  <c:v>4</c:v>
                </c:pt>
                <c:pt idx="37">
                  <c:v>3.9</c:v>
                </c:pt>
                <c:pt idx="38">
                  <c:v>3.8</c:v>
                </c:pt>
                <c:pt idx="39">
                  <c:v>7.125</c:v>
                </c:pt>
                <c:pt idx="40">
                  <c:v>7.25</c:v>
                </c:pt>
                <c:pt idx="41">
                  <c:v>0.61</c:v>
                </c:pt>
                <c:pt idx="42">
                  <c:v>6.85</c:v>
                </c:pt>
                <c:pt idx="43">
                  <c:v>14.8</c:v>
                </c:pt>
                <c:pt idx="44">
                  <c:v>6.85</c:v>
                </c:pt>
                <c:pt idx="45">
                  <c:v>2.0499999999999998</c:v>
                </c:pt>
                <c:pt idx="46">
                  <c:v>4</c:v>
                </c:pt>
                <c:pt idx="47">
                  <c:v>0.9</c:v>
                </c:pt>
                <c:pt idx="48">
                  <c:v>0.375</c:v>
                </c:pt>
                <c:pt idx="49">
                  <c:v>5.8</c:v>
                </c:pt>
                <c:pt idx="50">
                  <c:v>5.8</c:v>
                </c:pt>
                <c:pt idx="51">
                  <c:v>5.8</c:v>
                </c:pt>
                <c:pt idx="52">
                  <c:v>5.8</c:v>
                </c:pt>
                <c:pt idx="53">
                  <c:v>6.4</c:v>
                </c:pt>
                <c:pt idx="54">
                  <c:v>2.4500000000000002</c:v>
                </c:pt>
                <c:pt idx="55">
                  <c:v>0.4</c:v>
                </c:pt>
                <c:pt idx="56">
                  <c:v>6.7</c:v>
                </c:pt>
                <c:pt idx="57">
                  <c:v>21.8</c:v>
                </c:pt>
                <c:pt idx="58">
                  <c:v>5.8</c:v>
                </c:pt>
                <c:pt idx="59">
                  <c:v>0.93500000000000005</c:v>
                </c:pt>
                <c:pt idx="60">
                  <c:v>24</c:v>
                </c:pt>
                <c:pt idx="61">
                  <c:v>24</c:v>
                </c:pt>
                <c:pt idx="62">
                  <c:v>24</c:v>
                </c:pt>
                <c:pt idx="63">
                  <c:v>53</c:v>
                </c:pt>
                <c:pt idx="64">
                  <c:v>38</c:v>
                </c:pt>
                <c:pt idx="65">
                  <c:v>60</c:v>
                </c:pt>
                <c:pt idx="66">
                  <c:v>59.75</c:v>
                </c:pt>
                <c:pt idx="67">
                  <c:v>59.75</c:v>
                </c:pt>
                <c:pt idx="68">
                  <c:v>60</c:v>
                </c:pt>
                <c:pt idx="69">
                  <c:v>0.66</c:v>
                </c:pt>
                <c:pt idx="70">
                  <c:v>60</c:v>
                </c:pt>
                <c:pt idx="71">
                  <c:v>61.5</c:v>
                </c:pt>
                <c:pt idx="72">
                  <c:v>1.05</c:v>
                </c:pt>
                <c:pt idx="73">
                  <c:v>0.61</c:v>
                </c:pt>
                <c:pt idx="74">
                  <c:v>54.5</c:v>
                </c:pt>
                <c:pt idx="75">
                  <c:v>56.25</c:v>
                </c:pt>
                <c:pt idx="76">
                  <c:v>36.5</c:v>
                </c:pt>
                <c:pt idx="77">
                  <c:v>58.5</c:v>
                </c:pt>
                <c:pt idx="78">
                  <c:v>57.75</c:v>
                </c:pt>
                <c:pt idx="79">
                  <c:v>2.8</c:v>
                </c:pt>
                <c:pt idx="80">
                  <c:v>3.3</c:v>
                </c:pt>
                <c:pt idx="81">
                  <c:v>4.5999999999999996</c:v>
                </c:pt>
                <c:pt idx="82">
                  <c:v>2.0499999999999998</c:v>
                </c:pt>
                <c:pt idx="83">
                  <c:v>5.65</c:v>
                </c:pt>
                <c:pt idx="84">
                  <c:v>5.9</c:v>
                </c:pt>
                <c:pt idx="85">
                  <c:v>60</c:v>
                </c:pt>
                <c:pt idx="86">
                  <c:v>5.95</c:v>
                </c:pt>
                <c:pt idx="87">
                  <c:v>5.95</c:v>
                </c:pt>
                <c:pt idx="88">
                  <c:v>16</c:v>
                </c:pt>
                <c:pt idx="89">
                  <c:v>3.75</c:v>
                </c:pt>
                <c:pt idx="90">
                  <c:v>4.5</c:v>
                </c:pt>
                <c:pt idx="91">
                  <c:v>7.2</c:v>
                </c:pt>
                <c:pt idx="92">
                  <c:v>0.52500000000000002</c:v>
                </c:pt>
                <c:pt idx="93">
                  <c:v>76</c:v>
                </c:pt>
                <c:pt idx="94">
                  <c:v>2.2749999999999999</c:v>
                </c:pt>
                <c:pt idx="95">
                  <c:v>23.75</c:v>
                </c:pt>
                <c:pt idx="96">
                  <c:v>0.83750000000000002</c:v>
                </c:pt>
                <c:pt idx="97">
                  <c:v>63.5</c:v>
                </c:pt>
                <c:pt idx="98">
                  <c:v>118</c:v>
                </c:pt>
                <c:pt idx="99">
                  <c:v>1.1499999999999999</c:v>
                </c:pt>
                <c:pt idx="100">
                  <c:v>53.5</c:v>
                </c:pt>
                <c:pt idx="101">
                  <c:v>54</c:v>
                </c:pt>
                <c:pt idx="102">
                  <c:v>1.5249999999999999</c:v>
                </c:pt>
                <c:pt idx="103">
                  <c:v>27.25</c:v>
                </c:pt>
                <c:pt idx="104">
                  <c:v>3</c:v>
                </c:pt>
                <c:pt idx="105">
                  <c:v>5</c:v>
                </c:pt>
                <c:pt idx="106">
                  <c:v>154.5</c:v>
                </c:pt>
                <c:pt idx="107">
                  <c:v>94.5</c:v>
                </c:pt>
                <c:pt idx="108">
                  <c:v>29</c:v>
                </c:pt>
                <c:pt idx="109">
                  <c:v>44</c:v>
                </c:pt>
                <c:pt idx="110">
                  <c:v>27.6</c:v>
                </c:pt>
                <c:pt idx="111">
                  <c:v>59.5</c:v>
                </c:pt>
                <c:pt idx="112">
                  <c:v>7</c:v>
                </c:pt>
                <c:pt idx="113">
                  <c:v>7.5</c:v>
                </c:pt>
                <c:pt idx="114">
                  <c:v>26.35</c:v>
                </c:pt>
                <c:pt idx="115">
                  <c:v>63</c:v>
                </c:pt>
                <c:pt idx="116">
                  <c:v>2.35</c:v>
                </c:pt>
                <c:pt idx="117">
                  <c:v>61.56</c:v>
                </c:pt>
                <c:pt idx="118">
                  <c:v>77</c:v>
                </c:pt>
                <c:pt idx="119">
                  <c:v>77</c:v>
                </c:pt>
                <c:pt idx="120">
                  <c:v>92</c:v>
                </c:pt>
                <c:pt idx="121">
                  <c:v>9.5</c:v>
                </c:pt>
                <c:pt idx="122">
                  <c:v>32</c:v>
                </c:pt>
                <c:pt idx="123">
                  <c:v>61</c:v>
                </c:pt>
                <c:pt idx="124">
                  <c:v>28.35</c:v>
                </c:pt>
                <c:pt idx="125">
                  <c:v>28.35</c:v>
                </c:pt>
                <c:pt idx="126">
                  <c:v>28.35</c:v>
                </c:pt>
                <c:pt idx="127">
                  <c:v>28.25</c:v>
                </c:pt>
                <c:pt idx="128">
                  <c:v>30</c:v>
                </c:pt>
                <c:pt idx="129">
                  <c:v>32.5</c:v>
                </c:pt>
                <c:pt idx="130">
                  <c:v>27.2</c:v>
                </c:pt>
                <c:pt idx="131">
                  <c:v>27.2</c:v>
                </c:pt>
                <c:pt idx="132">
                  <c:v>24.25</c:v>
                </c:pt>
                <c:pt idx="133">
                  <c:v>24.25</c:v>
                </c:pt>
                <c:pt idx="134">
                  <c:v>25</c:v>
                </c:pt>
                <c:pt idx="135">
                  <c:v>25</c:v>
                </c:pt>
                <c:pt idx="136">
                  <c:v>9.25</c:v>
                </c:pt>
                <c:pt idx="137">
                  <c:v>6.7</c:v>
                </c:pt>
                <c:pt idx="138">
                  <c:v>6</c:v>
                </c:pt>
                <c:pt idx="139">
                  <c:v>152.19999999999999</c:v>
                </c:pt>
                <c:pt idx="140">
                  <c:v>29.05</c:v>
                </c:pt>
                <c:pt idx="141">
                  <c:v>0.85</c:v>
                </c:pt>
                <c:pt idx="142">
                  <c:v>2</c:v>
                </c:pt>
                <c:pt idx="143">
                  <c:v>17.25</c:v>
                </c:pt>
                <c:pt idx="144">
                  <c:v>10.95</c:v>
                </c:pt>
                <c:pt idx="145">
                  <c:v>1.31</c:v>
                </c:pt>
                <c:pt idx="146">
                  <c:v>1.48</c:v>
                </c:pt>
                <c:pt idx="147">
                  <c:v>1.5249999999999999</c:v>
                </c:pt>
                <c:pt idx="148">
                  <c:v>1.8049999999999999</c:v>
                </c:pt>
                <c:pt idx="149">
                  <c:v>1.93</c:v>
                </c:pt>
                <c:pt idx="150">
                  <c:v>2.35</c:v>
                </c:pt>
                <c:pt idx="151">
                  <c:v>1.8</c:v>
                </c:pt>
                <c:pt idx="152">
                  <c:v>4</c:v>
                </c:pt>
                <c:pt idx="153">
                  <c:v>60</c:v>
                </c:pt>
                <c:pt idx="154">
                  <c:v>1.45</c:v>
                </c:pt>
                <c:pt idx="155">
                  <c:v>27</c:v>
                </c:pt>
                <c:pt idx="156">
                  <c:v>153.5</c:v>
                </c:pt>
                <c:pt idx="157">
                  <c:v>27.8</c:v>
                </c:pt>
                <c:pt idx="158">
                  <c:v>153</c:v>
                </c:pt>
                <c:pt idx="159">
                  <c:v>39</c:v>
                </c:pt>
                <c:pt idx="160">
                  <c:v>10.1</c:v>
                </c:pt>
                <c:pt idx="161">
                  <c:v>20.5</c:v>
                </c:pt>
                <c:pt idx="162">
                  <c:v>22.35</c:v>
                </c:pt>
                <c:pt idx="163">
                  <c:v>25.5</c:v>
                </c:pt>
                <c:pt idx="164">
                  <c:v>151.9</c:v>
                </c:pt>
                <c:pt idx="165">
                  <c:v>5</c:v>
                </c:pt>
                <c:pt idx="166">
                  <c:v>13</c:v>
                </c:pt>
                <c:pt idx="167">
                  <c:v>26.5</c:v>
                </c:pt>
                <c:pt idx="168">
                  <c:v>27.2</c:v>
                </c:pt>
                <c:pt idx="169">
                  <c:v>32</c:v>
                </c:pt>
                <c:pt idx="170">
                  <c:v>5.5</c:v>
                </c:pt>
                <c:pt idx="171">
                  <c:v>3.5</c:v>
                </c:pt>
                <c:pt idx="172">
                  <c:v>3.5</c:v>
                </c:pt>
                <c:pt idx="173">
                  <c:v>2.95</c:v>
                </c:pt>
                <c:pt idx="174">
                  <c:v>2.95</c:v>
                </c:pt>
                <c:pt idx="175">
                  <c:v>139.25</c:v>
                </c:pt>
                <c:pt idx="176">
                  <c:v>138.5</c:v>
                </c:pt>
                <c:pt idx="177">
                  <c:v>138.5</c:v>
                </c:pt>
                <c:pt idx="178">
                  <c:v>38.200000000000003</c:v>
                </c:pt>
                <c:pt idx="179">
                  <c:v>2.2000000000000002</c:v>
                </c:pt>
                <c:pt idx="180">
                  <c:v>8</c:v>
                </c:pt>
                <c:pt idx="181">
                  <c:v>31.75</c:v>
                </c:pt>
                <c:pt idx="182">
                  <c:v>2.0249999999999999</c:v>
                </c:pt>
                <c:pt idx="183">
                  <c:v>22.25</c:v>
                </c:pt>
                <c:pt idx="184">
                  <c:v>60.2</c:v>
                </c:pt>
                <c:pt idx="185">
                  <c:v>40.5</c:v>
                </c:pt>
                <c:pt idx="186">
                  <c:v>26.05</c:v>
                </c:pt>
                <c:pt idx="187">
                  <c:v>38.85</c:v>
                </c:pt>
                <c:pt idx="188">
                  <c:v>60</c:v>
                </c:pt>
                <c:pt idx="190">
                  <c:v>1.75</c:v>
                </c:pt>
                <c:pt idx="191">
                  <c:v>0.19400000000000001</c:v>
                </c:pt>
                <c:pt idx="192">
                  <c:v>0.9</c:v>
                </c:pt>
                <c:pt idx="193">
                  <c:v>1.9750000000000001</c:v>
                </c:pt>
                <c:pt idx="194">
                  <c:v>2.4</c:v>
                </c:pt>
                <c:pt idx="195">
                  <c:v>0.47499999999999998</c:v>
                </c:pt>
                <c:pt idx="196">
                  <c:v>0.9</c:v>
                </c:pt>
                <c:pt idx="197">
                  <c:v>0.9</c:v>
                </c:pt>
                <c:pt idx="198">
                  <c:v>0.9</c:v>
                </c:pt>
                <c:pt idx="199">
                  <c:v>1.2649999999999999</c:v>
                </c:pt>
                <c:pt idx="200">
                  <c:v>2.625</c:v>
                </c:pt>
                <c:pt idx="201">
                  <c:v>7</c:v>
                </c:pt>
                <c:pt idx="202">
                  <c:v>0.8</c:v>
                </c:pt>
                <c:pt idx="203">
                  <c:v>5.75</c:v>
                </c:pt>
                <c:pt idx="204">
                  <c:v>5.75</c:v>
                </c:pt>
                <c:pt idx="205">
                  <c:v>5.1849999999999996</c:v>
                </c:pt>
                <c:pt idx="206">
                  <c:v>2.15</c:v>
                </c:pt>
                <c:pt idx="207">
                  <c:v>2.15</c:v>
                </c:pt>
                <c:pt idx="208">
                  <c:v>0.8</c:v>
                </c:pt>
                <c:pt idx="209">
                  <c:v>34</c:v>
                </c:pt>
                <c:pt idx="210">
                  <c:v>5.75</c:v>
                </c:pt>
                <c:pt idx="211">
                  <c:v>5.95</c:v>
                </c:pt>
                <c:pt idx="212">
                  <c:v>3.3</c:v>
                </c:pt>
                <c:pt idx="213">
                  <c:v>5.5</c:v>
                </c:pt>
                <c:pt idx="214">
                  <c:v>5.5</c:v>
                </c:pt>
                <c:pt idx="215">
                  <c:v>5.5</c:v>
                </c:pt>
                <c:pt idx="216">
                  <c:v>1.9650000000000001</c:v>
                </c:pt>
                <c:pt idx="217">
                  <c:v>3.52</c:v>
                </c:pt>
                <c:pt idx="218">
                  <c:v>0.93</c:v>
                </c:pt>
                <c:pt idx="219">
                  <c:v>0.51500000000000001</c:v>
                </c:pt>
                <c:pt idx="220">
                  <c:v>6.55</c:v>
                </c:pt>
                <c:pt idx="221">
                  <c:v>6.85</c:v>
                </c:pt>
                <c:pt idx="222">
                  <c:v>6.85</c:v>
                </c:pt>
                <c:pt idx="223">
                  <c:v>2.25</c:v>
                </c:pt>
                <c:pt idx="224">
                  <c:v>58</c:v>
                </c:pt>
                <c:pt idx="225">
                  <c:v>1.1000000000000001</c:v>
                </c:pt>
                <c:pt idx="226">
                  <c:v>2</c:v>
                </c:pt>
                <c:pt idx="227">
                  <c:v>1.5195000000000001</c:v>
                </c:pt>
                <c:pt idx="228">
                  <c:v>2.1</c:v>
                </c:pt>
                <c:pt idx="229">
                  <c:v>2.2749999999999999</c:v>
                </c:pt>
                <c:pt idx="230">
                  <c:v>61.5</c:v>
                </c:pt>
                <c:pt idx="231">
                  <c:v>1.45</c:v>
                </c:pt>
                <c:pt idx="232">
                  <c:v>2.5499999999999998</c:v>
                </c:pt>
                <c:pt idx="233">
                  <c:v>5.5</c:v>
                </c:pt>
                <c:pt idx="234">
                  <c:v>2.7</c:v>
                </c:pt>
                <c:pt idx="235">
                  <c:v>64</c:v>
                </c:pt>
                <c:pt idx="236">
                  <c:v>82</c:v>
                </c:pt>
                <c:pt idx="237">
                  <c:v>3.25</c:v>
                </c:pt>
                <c:pt idx="238">
                  <c:v>3.25</c:v>
                </c:pt>
                <c:pt idx="239">
                  <c:v>3.4</c:v>
                </c:pt>
                <c:pt idx="240">
                  <c:v>2</c:v>
                </c:pt>
                <c:pt idx="241">
                  <c:v>5</c:v>
                </c:pt>
                <c:pt idx="242">
                  <c:v>5.3</c:v>
                </c:pt>
                <c:pt idx="243">
                  <c:v>7</c:v>
                </c:pt>
                <c:pt idx="244">
                  <c:v>4.5999999999999996</c:v>
                </c:pt>
                <c:pt idx="245">
                  <c:v>4.8</c:v>
                </c:pt>
                <c:pt idx="246">
                  <c:v>0.65500000000000003</c:v>
                </c:pt>
                <c:pt idx="247">
                  <c:v>0.72050000000000003</c:v>
                </c:pt>
                <c:pt idx="248">
                  <c:v>0.32400000000000001</c:v>
                </c:pt>
                <c:pt idx="249">
                  <c:v>2.4</c:v>
                </c:pt>
                <c:pt idx="250">
                  <c:v>2.4</c:v>
                </c:pt>
                <c:pt idx="251">
                  <c:v>27.5</c:v>
                </c:pt>
                <c:pt idx="252">
                  <c:v>0.62</c:v>
                </c:pt>
                <c:pt idx="253">
                  <c:v>60</c:v>
                </c:pt>
                <c:pt idx="254">
                  <c:v>87</c:v>
                </c:pt>
                <c:pt idx="255">
                  <c:v>77</c:v>
                </c:pt>
                <c:pt idx="256">
                  <c:v>1.151</c:v>
                </c:pt>
                <c:pt idx="257">
                  <c:v>0.91</c:v>
                </c:pt>
                <c:pt idx="258">
                  <c:v>81</c:v>
                </c:pt>
                <c:pt idx="259">
                  <c:v>62</c:v>
                </c:pt>
                <c:pt idx="260">
                  <c:v>60</c:v>
                </c:pt>
                <c:pt idx="261">
                  <c:v>0.105</c:v>
                </c:pt>
                <c:pt idx="262">
                  <c:v>1.4</c:v>
                </c:pt>
                <c:pt idx="263">
                  <c:v>5.05</c:v>
                </c:pt>
                <c:pt idx="264">
                  <c:v>2.625</c:v>
                </c:pt>
                <c:pt idx="265">
                  <c:v>2.65</c:v>
                </c:pt>
                <c:pt idx="266">
                  <c:v>211</c:v>
                </c:pt>
                <c:pt idx="267">
                  <c:v>1</c:v>
                </c:pt>
                <c:pt idx="268">
                  <c:v>2.2999999999999998</c:v>
                </c:pt>
                <c:pt idx="269">
                  <c:v>1.1000000000000001</c:v>
                </c:pt>
                <c:pt idx="270">
                  <c:v>0.9</c:v>
                </c:pt>
                <c:pt idx="271">
                  <c:v>2.4</c:v>
                </c:pt>
                <c:pt idx="272">
                  <c:v>1.85</c:v>
                </c:pt>
                <c:pt idx="273">
                  <c:v>80.849999999999994</c:v>
                </c:pt>
                <c:pt idx="274">
                  <c:v>80</c:v>
                </c:pt>
                <c:pt idx="275">
                  <c:v>77.5</c:v>
                </c:pt>
                <c:pt idx="276">
                  <c:v>77.25</c:v>
                </c:pt>
                <c:pt idx="277">
                  <c:v>1.05</c:v>
                </c:pt>
                <c:pt idx="278">
                  <c:v>82.25</c:v>
                </c:pt>
                <c:pt idx="279">
                  <c:v>4.4000000000000004</c:v>
                </c:pt>
                <c:pt idx="280">
                  <c:v>68.75</c:v>
                </c:pt>
                <c:pt idx="281">
                  <c:v>2.4</c:v>
                </c:pt>
                <c:pt idx="282">
                  <c:v>1.05</c:v>
                </c:pt>
                <c:pt idx="283">
                  <c:v>27</c:v>
                </c:pt>
                <c:pt idx="284">
                  <c:v>27</c:v>
                </c:pt>
                <c:pt idx="285">
                  <c:v>2.4</c:v>
                </c:pt>
                <c:pt idx="286">
                  <c:v>18.8</c:v>
                </c:pt>
                <c:pt idx="287">
                  <c:v>80.5</c:v>
                </c:pt>
                <c:pt idx="288">
                  <c:v>9.25</c:v>
                </c:pt>
                <c:pt idx="289">
                  <c:v>2.2599999999999998</c:v>
                </c:pt>
                <c:pt idx="290">
                  <c:v>125</c:v>
                </c:pt>
                <c:pt idx="291">
                  <c:v>19</c:v>
                </c:pt>
                <c:pt idx="292">
                  <c:v>30.55</c:v>
                </c:pt>
                <c:pt idx="293">
                  <c:v>138.5</c:v>
                </c:pt>
                <c:pt idx="294">
                  <c:v>62.65</c:v>
                </c:pt>
                <c:pt idx="295">
                  <c:v>78</c:v>
                </c:pt>
                <c:pt idx="296">
                  <c:v>28.65</c:v>
                </c:pt>
                <c:pt idx="297">
                  <c:v>37.9</c:v>
                </c:pt>
                <c:pt idx="298">
                  <c:v>11</c:v>
                </c:pt>
                <c:pt idx="299">
                  <c:v>7.1</c:v>
                </c:pt>
                <c:pt idx="300">
                  <c:v>7.35</c:v>
                </c:pt>
                <c:pt idx="301">
                  <c:v>10.65</c:v>
                </c:pt>
                <c:pt idx="302">
                  <c:v>14.75</c:v>
                </c:pt>
                <c:pt idx="303">
                  <c:v>13.4</c:v>
                </c:pt>
                <c:pt idx="304">
                  <c:v>7.75</c:v>
                </c:pt>
                <c:pt idx="305">
                  <c:v>10.8</c:v>
                </c:pt>
                <c:pt idx="306">
                  <c:v>14.05</c:v>
                </c:pt>
                <c:pt idx="307">
                  <c:v>11.65</c:v>
                </c:pt>
                <c:pt idx="308">
                  <c:v>11.05</c:v>
                </c:pt>
                <c:pt idx="309">
                  <c:v>11</c:v>
                </c:pt>
                <c:pt idx="310">
                  <c:v>134.5</c:v>
                </c:pt>
                <c:pt idx="311">
                  <c:v>113</c:v>
                </c:pt>
                <c:pt idx="315">
                  <c:v>0.9</c:v>
                </c:pt>
                <c:pt idx="316">
                  <c:v>0.9</c:v>
                </c:pt>
                <c:pt idx="317">
                  <c:v>0.9</c:v>
                </c:pt>
                <c:pt idx="318">
                  <c:v>1.75</c:v>
                </c:pt>
                <c:pt idx="319">
                  <c:v>1.85</c:v>
                </c:pt>
                <c:pt idx="320">
                  <c:v>0.9</c:v>
                </c:pt>
                <c:pt idx="321">
                  <c:v>0.9</c:v>
                </c:pt>
                <c:pt idx="322">
                  <c:v>1.57</c:v>
                </c:pt>
                <c:pt idx="323">
                  <c:v>2.2000000000000002</c:v>
                </c:pt>
                <c:pt idx="324">
                  <c:v>5.75</c:v>
                </c:pt>
                <c:pt idx="325">
                  <c:v>5.95</c:v>
                </c:pt>
                <c:pt idx="326">
                  <c:v>5.9</c:v>
                </c:pt>
                <c:pt idx="327">
                  <c:v>4</c:v>
                </c:pt>
                <c:pt idx="328">
                  <c:v>4.3499999999999996</c:v>
                </c:pt>
                <c:pt idx="329">
                  <c:v>55.5</c:v>
                </c:pt>
                <c:pt idx="330">
                  <c:v>3.25</c:v>
                </c:pt>
                <c:pt idx="331">
                  <c:v>3.5</c:v>
                </c:pt>
                <c:pt idx="332">
                  <c:v>3</c:v>
                </c:pt>
                <c:pt idx="333">
                  <c:v>3</c:v>
                </c:pt>
                <c:pt idx="334">
                  <c:v>5</c:v>
                </c:pt>
                <c:pt idx="335">
                  <c:v>58</c:v>
                </c:pt>
                <c:pt idx="336">
                  <c:v>18.86</c:v>
                </c:pt>
                <c:pt idx="337">
                  <c:v>59.65</c:v>
                </c:pt>
                <c:pt idx="338">
                  <c:v>0.61</c:v>
                </c:pt>
                <c:pt idx="339">
                  <c:v>2.625</c:v>
                </c:pt>
                <c:pt idx="340">
                  <c:v>202.5</c:v>
                </c:pt>
                <c:pt idx="341">
                  <c:v>0.45900000000000002</c:v>
                </c:pt>
                <c:pt idx="342">
                  <c:v>82.25</c:v>
                </c:pt>
                <c:pt idx="343">
                  <c:v>81</c:v>
                </c:pt>
                <c:pt idx="344">
                  <c:v>5.5</c:v>
                </c:pt>
                <c:pt idx="345">
                  <c:v>80.5</c:v>
                </c:pt>
                <c:pt idx="346">
                  <c:v>1.625</c:v>
                </c:pt>
                <c:pt idx="347">
                  <c:v>32.5</c:v>
                </c:pt>
                <c:pt idx="348">
                  <c:v>78</c:v>
                </c:pt>
                <c:pt idx="349">
                  <c:v>27.2</c:v>
                </c:pt>
                <c:pt idx="352">
                  <c:v>59</c:v>
                </c:pt>
                <c:pt idx="353">
                  <c:v>2</c:v>
                </c:pt>
                <c:pt idx="354">
                  <c:v>5.2</c:v>
                </c:pt>
                <c:pt idx="355">
                  <c:v>13.1</c:v>
                </c:pt>
                <c:pt idx="356">
                  <c:v>140</c:v>
                </c:pt>
                <c:pt idx="357">
                  <c:v>24.4</c:v>
                </c:pt>
                <c:pt idx="358">
                  <c:v>8.5</c:v>
                </c:pt>
                <c:pt idx="359">
                  <c:v>3.5</c:v>
                </c:pt>
                <c:pt idx="360">
                  <c:v>6.7</c:v>
                </c:pt>
                <c:pt idx="361">
                  <c:v>5.6</c:v>
                </c:pt>
                <c:pt idx="362">
                  <c:v>3.05</c:v>
                </c:pt>
                <c:pt idx="363">
                  <c:v>11</c:v>
                </c:pt>
                <c:pt idx="364">
                  <c:v>1.6850000000000001</c:v>
                </c:pt>
                <c:pt idx="365">
                  <c:v>23.95</c:v>
                </c:pt>
                <c:pt idx="366">
                  <c:v>0.45400000000000001</c:v>
                </c:pt>
                <c:pt idx="367">
                  <c:v>4.1500000000000004</c:v>
                </c:pt>
                <c:pt idx="368">
                  <c:v>3.65</c:v>
                </c:pt>
                <c:pt idx="369">
                  <c:v>16.5</c:v>
                </c:pt>
                <c:pt idx="370">
                  <c:v>10.5</c:v>
                </c:pt>
                <c:pt idx="371">
                  <c:v>0.55100000000000005</c:v>
                </c:pt>
                <c:pt idx="372">
                  <c:v>3</c:v>
                </c:pt>
                <c:pt idx="373">
                  <c:v>3.5</c:v>
                </c:pt>
                <c:pt idx="374">
                  <c:v>2.5</c:v>
                </c:pt>
                <c:pt idx="375">
                  <c:v>2.5</c:v>
                </c:pt>
                <c:pt idx="376">
                  <c:v>0.92500000000000004</c:v>
                </c:pt>
                <c:pt idx="377">
                  <c:v>2.25</c:v>
                </c:pt>
                <c:pt idx="378">
                  <c:v>2.125</c:v>
                </c:pt>
                <c:pt idx="379">
                  <c:v>2.125</c:v>
                </c:pt>
                <c:pt idx="380">
                  <c:v>2.125</c:v>
                </c:pt>
                <c:pt idx="381">
                  <c:v>2.125</c:v>
                </c:pt>
                <c:pt idx="382">
                  <c:v>1.4</c:v>
                </c:pt>
                <c:pt idx="383">
                  <c:v>4.5</c:v>
                </c:pt>
                <c:pt idx="384">
                  <c:v>60</c:v>
                </c:pt>
                <c:pt idx="385">
                  <c:v>60</c:v>
                </c:pt>
                <c:pt idx="386">
                  <c:v>3.9</c:v>
                </c:pt>
                <c:pt idx="387">
                  <c:v>1.1020000000000001</c:v>
                </c:pt>
                <c:pt idx="388">
                  <c:v>1</c:v>
                </c:pt>
                <c:pt idx="389">
                  <c:v>61.5</c:v>
                </c:pt>
                <c:pt idx="390">
                  <c:v>2.8</c:v>
                </c:pt>
                <c:pt idx="391">
                  <c:v>3.3</c:v>
                </c:pt>
                <c:pt idx="392">
                  <c:v>4.5999999999999996</c:v>
                </c:pt>
                <c:pt idx="393">
                  <c:v>2.0499999999999998</c:v>
                </c:pt>
                <c:pt idx="394">
                  <c:v>5.65</c:v>
                </c:pt>
                <c:pt idx="395">
                  <c:v>7.55</c:v>
                </c:pt>
                <c:pt idx="396">
                  <c:v>4.95</c:v>
                </c:pt>
                <c:pt idx="397">
                  <c:v>4.95</c:v>
                </c:pt>
                <c:pt idx="398">
                  <c:v>4.95</c:v>
                </c:pt>
                <c:pt idx="399">
                  <c:v>4.95</c:v>
                </c:pt>
                <c:pt idx="400">
                  <c:v>4.95</c:v>
                </c:pt>
                <c:pt idx="401">
                  <c:v>4.75</c:v>
                </c:pt>
                <c:pt idx="402">
                  <c:v>0.60599999999999998</c:v>
                </c:pt>
                <c:pt idx="403">
                  <c:v>5.55</c:v>
                </c:pt>
                <c:pt idx="404">
                  <c:v>53.5</c:v>
                </c:pt>
                <c:pt idx="405">
                  <c:v>1.05</c:v>
                </c:pt>
                <c:pt idx="406">
                  <c:v>57.75</c:v>
                </c:pt>
                <c:pt idx="407">
                  <c:v>2.35</c:v>
                </c:pt>
                <c:pt idx="408">
                  <c:v>2.4</c:v>
                </c:pt>
                <c:pt idx="409">
                  <c:v>77</c:v>
                </c:pt>
                <c:pt idx="410">
                  <c:v>93.75</c:v>
                </c:pt>
                <c:pt idx="411">
                  <c:v>70.5</c:v>
                </c:pt>
                <c:pt idx="412">
                  <c:v>28.7</c:v>
                </c:pt>
                <c:pt idx="413">
                  <c:v>26.5</c:v>
                </c:pt>
                <c:pt idx="414">
                  <c:v>31.5</c:v>
                </c:pt>
                <c:pt idx="415">
                  <c:v>27</c:v>
                </c:pt>
                <c:pt idx="416">
                  <c:v>27</c:v>
                </c:pt>
                <c:pt idx="417">
                  <c:v>30</c:v>
                </c:pt>
                <c:pt idx="418">
                  <c:v>30</c:v>
                </c:pt>
                <c:pt idx="419">
                  <c:v>57</c:v>
                </c:pt>
                <c:pt idx="420">
                  <c:v>57</c:v>
                </c:pt>
                <c:pt idx="421">
                  <c:v>28</c:v>
                </c:pt>
                <c:pt idx="422">
                  <c:v>19</c:v>
                </c:pt>
                <c:pt idx="423">
                  <c:v>19</c:v>
                </c:pt>
                <c:pt idx="424">
                  <c:v>5.5</c:v>
                </c:pt>
                <c:pt idx="425">
                  <c:v>5.5</c:v>
                </c:pt>
                <c:pt idx="426">
                  <c:v>5.5</c:v>
                </c:pt>
                <c:pt idx="427">
                  <c:v>3.5</c:v>
                </c:pt>
                <c:pt idx="428">
                  <c:v>136.5</c:v>
                </c:pt>
                <c:pt idx="429">
                  <c:v>29</c:v>
                </c:pt>
                <c:pt idx="430">
                  <c:v>38</c:v>
                </c:pt>
                <c:pt idx="431">
                  <c:v>32.6</c:v>
                </c:pt>
                <c:pt idx="432">
                  <c:v>27.5</c:v>
                </c:pt>
                <c:pt idx="433">
                  <c:v>2.4500000000000002</c:v>
                </c:pt>
                <c:pt idx="434">
                  <c:v>9</c:v>
                </c:pt>
                <c:pt idx="435">
                  <c:v>22.35</c:v>
                </c:pt>
                <c:pt idx="436">
                  <c:v>27.8</c:v>
                </c:pt>
                <c:pt idx="437">
                  <c:v>27.4</c:v>
                </c:pt>
                <c:pt idx="438">
                  <c:v>12</c:v>
                </c:pt>
                <c:pt idx="439">
                  <c:v>20</c:v>
                </c:pt>
                <c:pt idx="440">
                  <c:v>78.5</c:v>
                </c:pt>
                <c:pt idx="441">
                  <c:v>38.75</c:v>
                </c:pt>
                <c:pt idx="442">
                  <c:v>27.5</c:v>
                </c:pt>
                <c:pt idx="443">
                  <c:v>27.5</c:v>
                </c:pt>
                <c:pt idx="444">
                  <c:v>27.9</c:v>
                </c:pt>
                <c:pt idx="445">
                  <c:v>24</c:v>
                </c:pt>
                <c:pt idx="446">
                  <c:v>30.25</c:v>
                </c:pt>
                <c:pt idx="447">
                  <c:v>32.5</c:v>
                </c:pt>
                <c:pt idx="448">
                  <c:v>139.25</c:v>
                </c:pt>
                <c:pt idx="449">
                  <c:v>196</c:v>
                </c:pt>
                <c:pt idx="450">
                  <c:v>32</c:v>
                </c:pt>
                <c:pt idx="451">
                  <c:v>26.05</c:v>
                </c:pt>
                <c:pt idx="452">
                  <c:v>38.85</c:v>
                </c:pt>
                <c:pt idx="453">
                  <c:v>31.5</c:v>
                </c:pt>
                <c:pt idx="454">
                  <c:v>5.35</c:v>
                </c:pt>
                <c:pt idx="455">
                  <c:v>3.1</c:v>
                </c:pt>
                <c:pt idx="456">
                  <c:v>26.05</c:v>
                </c:pt>
                <c:pt idx="457">
                  <c:v>36.950000000000003</c:v>
                </c:pt>
                <c:pt idx="458">
                  <c:v>67.5</c:v>
                </c:pt>
                <c:pt idx="461">
                  <c:v>2.1</c:v>
                </c:pt>
                <c:pt idx="462">
                  <c:v>0.435</c:v>
                </c:pt>
                <c:pt idx="463">
                  <c:v>5</c:v>
                </c:pt>
                <c:pt idx="464">
                  <c:v>6</c:v>
                </c:pt>
                <c:pt idx="465">
                  <c:v>13.1</c:v>
                </c:pt>
                <c:pt idx="466">
                  <c:v>0.30499999999999999</c:v>
                </c:pt>
                <c:pt idx="467">
                  <c:v>2.625</c:v>
                </c:pt>
                <c:pt idx="468">
                  <c:v>5.8</c:v>
                </c:pt>
                <c:pt idx="469">
                  <c:v>38</c:v>
                </c:pt>
                <c:pt idx="470">
                  <c:v>6.5</c:v>
                </c:pt>
                <c:pt idx="471">
                  <c:v>71.5</c:v>
                </c:pt>
                <c:pt idx="472">
                  <c:v>57.9</c:v>
                </c:pt>
                <c:pt idx="473">
                  <c:v>57.75</c:v>
                </c:pt>
                <c:pt idx="474">
                  <c:v>5.8</c:v>
                </c:pt>
                <c:pt idx="475">
                  <c:v>24.5</c:v>
                </c:pt>
                <c:pt idx="476">
                  <c:v>23.45</c:v>
                </c:pt>
                <c:pt idx="477">
                  <c:v>36.75</c:v>
                </c:pt>
                <c:pt idx="478">
                  <c:v>36.5</c:v>
                </c:pt>
                <c:pt idx="479">
                  <c:v>39.65</c:v>
                </c:pt>
                <c:pt idx="480">
                  <c:v>60</c:v>
                </c:pt>
                <c:pt idx="481">
                  <c:v>98</c:v>
                </c:pt>
                <c:pt idx="482">
                  <c:v>58</c:v>
                </c:pt>
                <c:pt idx="483">
                  <c:v>27</c:v>
                </c:pt>
                <c:pt idx="484">
                  <c:v>4.7750000000000004</c:v>
                </c:pt>
                <c:pt idx="485">
                  <c:v>61.5</c:v>
                </c:pt>
                <c:pt idx="486">
                  <c:v>2.5</c:v>
                </c:pt>
                <c:pt idx="487">
                  <c:v>5</c:v>
                </c:pt>
                <c:pt idx="488">
                  <c:v>2.65</c:v>
                </c:pt>
                <c:pt idx="489">
                  <c:v>6.85</c:v>
                </c:pt>
                <c:pt idx="490">
                  <c:v>4.99</c:v>
                </c:pt>
                <c:pt idx="491">
                  <c:v>26.5</c:v>
                </c:pt>
                <c:pt idx="492">
                  <c:v>19.399999999999999</c:v>
                </c:pt>
                <c:pt idx="493">
                  <c:v>24</c:v>
                </c:pt>
                <c:pt idx="494">
                  <c:v>24</c:v>
                </c:pt>
                <c:pt idx="495">
                  <c:v>141.25</c:v>
                </c:pt>
                <c:pt idx="496">
                  <c:v>9.25</c:v>
                </c:pt>
                <c:pt idx="497">
                  <c:v>27.9</c:v>
                </c:pt>
                <c:pt idx="498">
                  <c:v>24</c:v>
                </c:pt>
                <c:pt idx="499">
                  <c:v>33</c:v>
                </c:pt>
                <c:pt idx="500">
                  <c:v>50</c:v>
                </c:pt>
                <c:pt idx="501">
                  <c:v>76.25</c:v>
                </c:pt>
                <c:pt idx="502">
                  <c:v>36.049999999999997</c:v>
                </c:pt>
                <c:pt idx="503">
                  <c:v>10.95</c:v>
                </c:pt>
                <c:pt idx="504">
                  <c:v>28.25</c:v>
                </c:pt>
                <c:pt idx="505">
                  <c:v>37.200000000000003</c:v>
                </c:pt>
                <c:pt idx="506">
                  <c:v>41</c:v>
                </c:pt>
                <c:pt idx="507">
                  <c:v>40</c:v>
                </c:pt>
                <c:pt idx="508">
                  <c:v>7.7</c:v>
                </c:pt>
                <c:pt idx="509">
                  <c:v>30.1</c:v>
                </c:pt>
                <c:pt idx="510">
                  <c:v>30.1</c:v>
                </c:pt>
                <c:pt idx="511">
                  <c:v>152</c:v>
                </c:pt>
                <c:pt idx="512">
                  <c:v>127.7</c:v>
                </c:pt>
                <c:pt idx="513">
                  <c:v>81.8</c:v>
                </c:pt>
                <c:pt idx="517">
                  <c:v>19.399999999999999</c:v>
                </c:pt>
                <c:pt idx="518">
                  <c:v>11.7</c:v>
                </c:pt>
                <c:pt idx="519">
                  <c:v>38.5</c:v>
                </c:pt>
                <c:pt idx="520">
                  <c:v>110</c:v>
                </c:pt>
                <c:pt idx="521">
                  <c:v>84.5</c:v>
                </c:pt>
                <c:pt idx="522">
                  <c:v>11.7</c:v>
                </c:pt>
                <c:pt idx="523">
                  <c:v>30.25</c:v>
                </c:pt>
                <c:pt idx="524">
                  <c:v>220</c:v>
                </c:pt>
                <c:pt idx="525">
                  <c:v>39</c:v>
                </c:pt>
                <c:pt idx="526">
                  <c:v>8.1</c:v>
                </c:pt>
                <c:pt idx="527">
                  <c:v>10.1</c:v>
                </c:pt>
                <c:pt idx="528">
                  <c:v>11.05</c:v>
                </c:pt>
                <c:pt idx="529">
                  <c:v>60.45</c:v>
                </c:pt>
                <c:pt idx="530">
                  <c:v>8</c:v>
                </c:pt>
                <c:pt idx="531">
                  <c:v>26.75</c:v>
                </c:pt>
                <c:pt idx="532">
                  <c:v>88</c:v>
                </c:pt>
                <c:pt idx="535">
                  <c:v>5.7750000000000004</c:v>
                </c:pt>
                <c:pt idx="536">
                  <c:v>23.25</c:v>
                </c:pt>
                <c:pt idx="537">
                  <c:v>25.25</c:v>
                </c:pt>
                <c:pt idx="538">
                  <c:v>0.95</c:v>
                </c:pt>
                <c:pt idx="539">
                  <c:v>24.25</c:v>
                </c:pt>
                <c:pt idx="540">
                  <c:v>20.75</c:v>
                </c:pt>
                <c:pt idx="541">
                  <c:v>2.4</c:v>
                </c:pt>
                <c:pt idx="542">
                  <c:v>5.2</c:v>
                </c:pt>
                <c:pt idx="543">
                  <c:v>3.15</c:v>
                </c:pt>
                <c:pt idx="544">
                  <c:v>5.75</c:v>
                </c:pt>
                <c:pt idx="545">
                  <c:v>2</c:v>
                </c:pt>
                <c:pt idx="546">
                  <c:v>40.5</c:v>
                </c:pt>
                <c:pt idx="547">
                  <c:v>2.4</c:v>
                </c:pt>
                <c:pt idx="548">
                  <c:v>2.4</c:v>
                </c:pt>
                <c:pt idx="549">
                  <c:v>5.9</c:v>
                </c:pt>
                <c:pt idx="550">
                  <c:v>5.9</c:v>
                </c:pt>
                <c:pt idx="551">
                  <c:v>5.0999999999999996</c:v>
                </c:pt>
                <c:pt idx="552">
                  <c:v>6.75</c:v>
                </c:pt>
                <c:pt idx="553">
                  <c:v>6.95</c:v>
                </c:pt>
                <c:pt idx="554">
                  <c:v>15.2</c:v>
                </c:pt>
                <c:pt idx="555">
                  <c:v>11</c:v>
                </c:pt>
                <c:pt idx="556">
                  <c:v>11</c:v>
                </c:pt>
                <c:pt idx="557">
                  <c:v>0.59750000000000003</c:v>
                </c:pt>
                <c:pt idx="558">
                  <c:v>1.9</c:v>
                </c:pt>
                <c:pt idx="559">
                  <c:v>2.2000000000000002</c:v>
                </c:pt>
                <c:pt idx="560">
                  <c:v>4.05</c:v>
                </c:pt>
                <c:pt idx="561">
                  <c:v>6.85</c:v>
                </c:pt>
                <c:pt idx="562">
                  <c:v>22.05</c:v>
                </c:pt>
                <c:pt idx="563">
                  <c:v>4.8499999999999996</c:v>
                </c:pt>
                <c:pt idx="564">
                  <c:v>5.375</c:v>
                </c:pt>
                <c:pt idx="565">
                  <c:v>10.050000000000001</c:v>
                </c:pt>
                <c:pt idx="566">
                  <c:v>23.2</c:v>
                </c:pt>
                <c:pt idx="567">
                  <c:v>0.57499999999999996</c:v>
                </c:pt>
                <c:pt idx="568">
                  <c:v>5.2</c:v>
                </c:pt>
                <c:pt idx="569">
                  <c:v>6.6749999999999998</c:v>
                </c:pt>
                <c:pt idx="570">
                  <c:v>4.4000000000000004</c:v>
                </c:pt>
                <c:pt idx="571">
                  <c:v>6.85</c:v>
                </c:pt>
                <c:pt idx="572">
                  <c:v>4.75</c:v>
                </c:pt>
                <c:pt idx="573">
                  <c:v>5.75</c:v>
                </c:pt>
                <c:pt idx="574">
                  <c:v>4.05</c:v>
                </c:pt>
                <c:pt idx="575">
                  <c:v>6</c:v>
                </c:pt>
                <c:pt idx="576">
                  <c:v>20.399999999999999</c:v>
                </c:pt>
                <c:pt idx="577">
                  <c:v>1.9750000000000001</c:v>
                </c:pt>
                <c:pt idx="578">
                  <c:v>1.8</c:v>
                </c:pt>
                <c:pt idx="579">
                  <c:v>0.46100000000000002</c:v>
                </c:pt>
                <c:pt idx="580">
                  <c:v>24.05</c:v>
                </c:pt>
                <c:pt idx="581">
                  <c:v>53.55</c:v>
                </c:pt>
                <c:pt idx="582">
                  <c:v>63</c:v>
                </c:pt>
                <c:pt idx="583">
                  <c:v>24</c:v>
                </c:pt>
                <c:pt idx="584">
                  <c:v>0.9</c:v>
                </c:pt>
                <c:pt idx="585">
                  <c:v>62</c:v>
                </c:pt>
                <c:pt idx="586">
                  <c:v>1.1499999999999999</c:v>
                </c:pt>
                <c:pt idx="587">
                  <c:v>58.2</c:v>
                </c:pt>
                <c:pt idx="588">
                  <c:v>5</c:v>
                </c:pt>
                <c:pt idx="589">
                  <c:v>5</c:v>
                </c:pt>
                <c:pt idx="590">
                  <c:v>1.4</c:v>
                </c:pt>
                <c:pt idx="591">
                  <c:v>21</c:v>
                </c:pt>
                <c:pt idx="592">
                  <c:v>1.405</c:v>
                </c:pt>
                <c:pt idx="593">
                  <c:v>5.65</c:v>
                </c:pt>
                <c:pt idx="594">
                  <c:v>20.55</c:v>
                </c:pt>
                <c:pt idx="595">
                  <c:v>6.75</c:v>
                </c:pt>
                <c:pt idx="596">
                  <c:v>2.4500000000000002</c:v>
                </c:pt>
                <c:pt idx="597">
                  <c:v>4.625</c:v>
                </c:pt>
                <c:pt idx="598">
                  <c:v>4.875</c:v>
                </c:pt>
                <c:pt idx="599">
                  <c:v>0.7</c:v>
                </c:pt>
                <c:pt idx="600">
                  <c:v>4.5999999999999996</c:v>
                </c:pt>
                <c:pt idx="601">
                  <c:v>4.5999999999999996</c:v>
                </c:pt>
                <c:pt idx="602">
                  <c:v>1.3</c:v>
                </c:pt>
                <c:pt idx="603">
                  <c:v>91</c:v>
                </c:pt>
                <c:pt idx="604">
                  <c:v>0.625</c:v>
                </c:pt>
                <c:pt idx="605">
                  <c:v>1.3</c:v>
                </c:pt>
                <c:pt idx="606">
                  <c:v>95.7</c:v>
                </c:pt>
                <c:pt idx="607">
                  <c:v>82.5</c:v>
                </c:pt>
                <c:pt idx="608">
                  <c:v>79.5</c:v>
                </c:pt>
                <c:pt idx="609">
                  <c:v>64.95</c:v>
                </c:pt>
                <c:pt idx="610">
                  <c:v>1.7</c:v>
                </c:pt>
                <c:pt idx="611">
                  <c:v>0.7</c:v>
                </c:pt>
                <c:pt idx="612">
                  <c:v>63</c:v>
                </c:pt>
                <c:pt idx="613">
                  <c:v>7.5</c:v>
                </c:pt>
                <c:pt idx="614">
                  <c:v>18.3</c:v>
                </c:pt>
                <c:pt idx="615">
                  <c:v>23.7</c:v>
                </c:pt>
                <c:pt idx="616">
                  <c:v>31.1</c:v>
                </c:pt>
                <c:pt idx="617">
                  <c:v>59.5</c:v>
                </c:pt>
                <c:pt idx="618">
                  <c:v>23.5</c:v>
                </c:pt>
                <c:pt idx="619">
                  <c:v>75</c:v>
                </c:pt>
                <c:pt idx="620">
                  <c:v>22.6</c:v>
                </c:pt>
                <c:pt idx="621">
                  <c:v>54</c:v>
                </c:pt>
                <c:pt idx="622">
                  <c:v>54</c:v>
                </c:pt>
                <c:pt idx="623">
                  <c:v>10.7</c:v>
                </c:pt>
                <c:pt idx="624">
                  <c:v>0.55000000000000004</c:v>
                </c:pt>
                <c:pt idx="625">
                  <c:v>86</c:v>
                </c:pt>
                <c:pt idx="626">
                  <c:v>36.5</c:v>
                </c:pt>
                <c:pt idx="627">
                  <c:v>5.75</c:v>
                </c:pt>
                <c:pt idx="628">
                  <c:v>5.7</c:v>
                </c:pt>
                <c:pt idx="629">
                  <c:v>58.95</c:v>
                </c:pt>
                <c:pt idx="630">
                  <c:v>11</c:v>
                </c:pt>
                <c:pt idx="631">
                  <c:v>2.4</c:v>
                </c:pt>
                <c:pt idx="632">
                  <c:v>58.5</c:v>
                </c:pt>
                <c:pt idx="633">
                  <c:v>25.25</c:v>
                </c:pt>
                <c:pt idx="634">
                  <c:v>28</c:v>
                </c:pt>
                <c:pt idx="635">
                  <c:v>31</c:v>
                </c:pt>
                <c:pt idx="636">
                  <c:v>80.55</c:v>
                </c:pt>
                <c:pt idx="637">
                  <c:v>72.900000000000006</c:v>
                </c:pt>
                <c:pt idx="638">
                  <c:v>31.2</c:v>
                </c:pt>
                <c:pt idx="639">
                  <c:v>27.75</c:v>
                </c:pt>
                <c:pt idx="640">
                  <c:v>28.5</c:v>
                </c:pt>
                <c:pt idx="641">
                  <c:v>84.55</c:v>
                </c:pt>
                <c:pt idx="642">
                  <c:v>0.42499999999999999</c:v>
                </c:pt>
                <c:pt idx="643">
                  <c:v>28</c:v>
                </c:pt>
                <c:pt idx="644">
                  <c:v>39</c:v>
                </c:pt>
                <c:pt idx="645">
                  <c:v>28</c:v>
                </c:pt>
                <c:pt idx="646">
                  <c:v>38.5</c:v>
                </c:pt>
                <c:pt idx="647">
                  <c:v>38.5</c:v>
                </c:pt>
                <c:pt idx="648">
                  <c:v>0.433</c:v>
                </c:pt>
                <c:pt idx="649">
                  <c:v>28.5</c:v>
                </c:pt>
                <c:pt idx="650">
                  <c:v>28.5</c:v>
                </c:pt>
                <c:pt idx="651">
                  <c:v>38</c:v>
                </c:pt>
                <c:pt idx="652">
                  <c:v>24.5</c:v>
                </c:pt>
                <c:pt idx="653">
                  <c:v>15.2</c:v>
                </c:pt>
                <c:pt idx="654">
                  <c:v>15.05</c:v>
                </c:pt>
                <c:pt idx="655">
                  <c:v>5.8</c:v>
                </c:pt>
                <c:pt idx="656">
                  <c:v>36.85</c:v>
                </c:pt>
                <c:pt idx="657">
                  <c:v>36.85</c:v>
                </c:pt>
                <c:pt idx="658">
                  <c:v>28</c:v>
                </c:pt>
                <c:pt idx="659">
                  <c:v>39</c:v>
                </c:pt>
                <c:pt idx="660">
                  <c:v>22.6</c:v>
                </c:pt>
                <c:pt idx="661">
                  <c:v>11.1</c:v>
                </c:pt>
                <c:pt idx="662">
                  <c:v>146.5</c:v>
                </c:pt>
                <c:pt idx="663">
                  <c:v>2.2250000000000001</c:v>
                </c:pt>
                <c:pt idx="664">
                  <c:v>82</c:v>
                </c:pt>
                <c:pt idx="665">
                  <c:v>23</c:v>
                </c:pt>
                <c:pt idx="666">
                  <c:v>27.5</c:v>
                </c:pt>
                <c:pt idx="667">
                  <c:v>11.45</c:v>
                </c:pt>
                <c:pt idx="668">
                  <c:v>84</c:v>
                </c:pt>
                <c:pt idx="669">
                  <c:v>143</c:v>
                </c:pt>
                <c:pt idx="670">
                  <c:v>28</c:v>
                </c:pt>
                <c:pt idx="671">
                  <c:v>39</c:v>
                </c:pt>
                <c:pt idx="672">
                  <c:v>59.75</c:v>
                </c:pt>
                <c:pt idx="673">
                  <c:v>135.85</c:v>
                </c:pt>
                <c:pt idx="674">
                  <c:v>138</c:v>
                </c:pt>
                <c:pt idx="675">
                  <c:v>2.62</c:v>
                </c:pt>
                <c:pt idx="676">
                  <c:v>79.900000000000006</c:v>
                </c:pt>
                <c:pt idx="677">
                  <c:v>77.900000000000006</c:v>
                </c:pt>
                <c:pt idx="678">
                  <c:v>34.5</c:v>
                </c:pt>
                <c:pt idx="679">
                  <c:v>3.3</c:v>
                </c:pt>
                <c:pt idx="680">
                  <c:v>19.2</c:v>
                </c:pt>
                <c:pt idx="681">
                  <c:v>1.6</c:v>
                </c:pt>
                <c:pt idx="682">
                  <c:v>1.6</c:v>
                </c:pt>
                <c:pt idx="683">
                  <c:v>30</c:v>
                </c:pt>
                <c:pt idx="684">
                  <c:v>15.35</c:v>
                </c:pt>
              </c:numCache>
            </c:numRef>
          </c:xVal>
          <c:yVal>
            <c:numRef>
              <c:f>CMOS!$T$2:$T$1635</c:f>
              <c:numCache>
                <c:formatCode>0.00</c:formatCode>
                <c:ptCount val="1634"/>
                <c:pt idx="1">
                  <c:v>5.2369634142936485</c:v>
                </c:pt>
                <c:pt idx="2">
                  <c:v>4.9194235776324948</c:v>
                </c:pt>
                <c:pt idx="3">
                  <c:v>4.8875402962690453</c:v>
                </c:pt>
                <c:pt idx="4">
                  <c:v>9.7162811952641555</c:v>
                </c:pt>
                <c:pt idx="5">
                  <c:v>7.0243947664645843</c:v>
                </c:pt>
                <c:pt idx="6">
                  <c:v>5.0637276851566231</c:v>
                </c:pt>
                <c:pt idx="7">
                  <c:v>7.1195978912347471</c:v>
                </c:pt>
                <c:pt idx="8">
                  <c:v>9.4454251710287664</c:v>
                </c:pt>
                <c:pt idx="9">
                  <c:v>8.4392832750731372</c:v>
                </c:pt>
                <c:pt idx="10">
                  <c:v>6.3922217977604614</c:v>
                </c:pt>
                <c:pt idx="11">
                  <c:v>5.0839862469610866</c:v>
                </c:pt>
                <c:pt idx="12">
                  <c:v>7.4301984087564241</c:v>
                </c:pt>
                <c:pt idx="13">
                  <c:v>11.129413926702576</c:v>
                </c:pt>
                <c:pt idx="14">
                  <c:v>8.2705193537212729</c:v>
                </c:pt>
                <c:pt idx="15">
                  <c:v>12.455343006039705</c:v>
                </c:pt>
                <c:pt idx="16">
                  <c:v>13.321182122283897</c:v>
                </c:pt>
                <c:pt idx="17">
                  <c:v>#N/A</c:v>
                </c:pt>
                <c:pt idx="18">
                  <c:v>13.079378308047822</c:v>
                </c:pt>
                <c:pt idx="19">
                  <c:v>9.6549469373354917</c:v>
                </c:pt>
                <c:pt idx="20">
                  <c:v>16.441979239237167</c:v>
                </c:pt>
                <c:pt idx="21">
                  <c:v>14.178027577074579</c:v>
                </c:pt>
                <c:pt idx="22">
                  <c:v>6.3894989504344855</c:v>
                </c:pt>
                <c:pt idx="23">
                  <c:v>7.3616152649843167</c:v>
                </c:pt>
                <c:pt idx="24">
                  <c:v>7.6320185545514816</c:v>
                </c:pt>
                <c:pt idx="25">
                  <c:v>14.070762952269845</c:v>
                </c:pt>
                <c:pt idx="26">
                  <c:v>14.230087575975487</c:v>
                </c:pt>
                <c:pt idx="27">
                  <c:v>9.351149193238836</c:v>
                </c:pt>
                <c:pt idx="28">
                  <c:v>9.6036403069451826</c:v>
                </c:pt>
                <c:pt idx="29">
                  <c:v>11.226156465831805</c:v>
                </c:pt>
                <c:pt idx="30">
                  <c:v>7.1335031670545623</c:v>
                </c:pt>
                <c:pt idx="31">
                  <c:v>9.1911042617504677</c:v>
                </c:pt>
                <c:pt idx="32">
                  <c:v>15.543104160437958</c:v>
                </c:pt>
                <c:pt idx="33">
                  <c:v>10.463479806246021</c:v>
                </c:pt>
                <c:pt idx="34">
                  <c:v>7.5207944327494269</c:v>
                </c:pt>
                <c:pt idx="35">
                  <c:v>15.908014568685507</c:v>
                </c:pt>
                <c:pt idx="36">
                  <c:v>9.0189744421942226</c:v>
                </c:pt>
                <c:pt idx="37">
                  <c:v>9.3884590599203577</c:v>
                </c:pt>
                <c:pt idx="38">
                  <c:v>10.915370973132124</c:v>
                </c:pt>
                <c:pt idx="39">
                  <c:v>9.2465394358823119</c:v>
                </c:pt>
                <c:pt idx="40">
                  <c:v>10.290657696639451</c:v>
                </c:pt>
                <c:pt idx="41">
                  <c:v>20.346092494274316</c:v>
                </c:pt>
                <c:pt idx="42">
                  <c:v>13.026019085541735</c:v>
                </c:pt>
                <c:pt idx="43">
                  <c:v>10.793679459023704</c:v>
                </c:pt>
                <c:pt idx="44">
                  <c:v>10.557376237735781</c:v>
                </c:pt>
                <c:pt idx="45">
                  <c:v>10.678504282562635</c:v>
                </c:pt>
                <c:pt idx="46">
                  <c:v>11.274464451662482</c:v>
                </c:pt>
                <c:pt idx="47">
                  <c:v>9.9645079639523182</c:v>
                </c:pt>
                <c:pt idx="48">
                  <c:v>18.55835542886723</c:v>
                </c:pt>
                <c:pt idx="49">
                  <c:v>11.031401706666792</c:v>
                </c:pt>
                <c:pt idx="50">
                  <c:v>11.271990882016901</c:v>
                </c:pt>
                <c:pt idx="51">
                  <c:v>12.564732229827174</c:v>
                </c:pt>
                <c:pt idx="52">
                  <c:v>12.875480397221814</c:v>
                </c:pt>
                <c:pt idx="53">
                  <c:v>11.657407971737888</c:v>
                </c:pt>
                <c:pt idx="54">
                  <c:v>9.9037958368361565</c:v>
                </c:pt>
                <c:pt idx="55">
                  <c:v>9.4466411034408146</c:v>
                </c:pt>
                <c:pt idx="56">
                  <c:v>7.3306321770608758</c:v>
                </c:pt>
                <c:pt idx="57">
                  <c:v>7.8034031899769278</c:v>
                </c:pt>
                <c:pt idx="58">
                  <c:v>12.647054701060412</c:v>
                </c:pt>
                <c:pt idx="59">
                  <c:v>12.902030736166591</c:v>
                </c:pt>
                <c:pt idx="60">
                  <c:v>8.9320947898747018</c:v>
                </c:pt>
                <c:pt idx="61">
                  <c:v>9.1765327813442461</c:v>
                </c:pt>
                <c:pt idx="62">
                  <c:v>10.004195367438856</c:v>
                </c:pt>
                <c:pt idx="63">
                  <c:v>9.7752670284240555</c:v>
                </c:pt>
                <c:pt idx="64">
                  <c:v>10.123449395951775</c:v>
                </c:pt>
                <c:pt idx="65">
                  <c:v>14.566454829608663</c:v>
                </c:pt>
                <c:pt idx="66">
                  <c:v>15.909857239896596</c:v>
                </c:pt>
                <c:pt idx="67">
                  <c:v>17.300096477598384</c:v>
                </c:pt>
                <c:pt idx="68">
                  <c:v>11.154509406101216</c:v>
                </c:pt>
                <c:pt idx="69">
                  <c:v>13.293874740375134</c:v>
                </c:pt>
                <c:pt idx="70">
                  <c:v>7.8284332735272439</c:v>
                </c:pt>
                <c:pt idx="71">
                  <c:v>7.5151171697675379</c:v>
                </c:pt>
                <c:pt idx="72">
                  <c:v>16.133907138133477</c:v>
                </c:pt>
                <c:pt idx="73">
                  <c:v>10.92057667853474</c:v>
                </c:pt>
                <c:pt idx="74">
                  <c:v>9.1586691334268959</c:v>
                </c:pt>
                <c:pt idx="75">
                  <c:v>10.107632857152552</c:v>
                </c:pt>
                <c:pt idx="76">
                  <c:v>9.3549734935627313</c:v>
                </c:pt>
                <c:pt idx="77">
                  <c:v>14.491549605459234</c:v>
                </c:pt>
                <c:pt idx="78">
                  <c:v>12.12745449314294</c:v>
                </c:pt>
                <c:pt idx="79">
                  <c:v>10.307629970372352</c:v>
                </c:pt>
                <c:pt idx="80">
                  <c:v>11.192306000736378</c:v>
                </c:pt>
                <c:pt idx="81">
                  <c:v>11.536036463064656</c:v>
                </c:pt>
                <c:pt idx="82">
                  <c:v>14.361046861941064</c:v>
                </c:pt>
                <c:pt idx="83">
                  <c:v>12.683967815677894</c:v>
                </c:pt>
                <c:pt idx="84">
                  <c:v>11.278826247064146</c:v>
                </c:pt>
                <c:pt idx="85">
                  <c:v>7.1690917175096578</c:v>
                </c:pt>
                <c:pt idx="86">
                  <c:v>5.1911277732132319</c:v>
                </c:pt>
                <c:pt idx="87">
                  <c:v>5.2820315621384539</c:v>
                </c:pt>
                <c:pt idx="88">
                  <c:v>14.356976057211025</c:v>
                </c:pt>
                <c:pt idx="89">
                  <c:v>13.829192566023478</c:v>
                </c:pt>
                <c:pt idx="90">
                  <c:v>6.5122994895207764</c:v>
                </c:pt>
                <c:pt idx="91">
                  <c:v>4.7291682881200314</c:v>
                </c:pt>
                <c:pt idx="92">
                  <c:v>14.906279894220393</c:v>
                </c:pt>
                <c:pt idx="93">
                  <c:v>#N/A</c:v>
                </c:pt>
                <c:pt idx="94">
                  <c:v>13.125238942951791</c:v>
                </c:pt>
                <c:pt idx="95">
                  <c:v>13.706602351184065</c:v>
                </c:pt>
                <c:pt idx="96">
                  <c:v>11.434436513741497</c:v>
                </c:pt>
                <c:pt idx="97">
                  <c:v>15.266889838251283</c:v>
                </c:pt>
                <c:pt idx="98">
                  <c:v>18.827693049507097</c:v>
                </c:pt>
                <c:pt idx="99">
                  <c:v>13.54861650439382</c:v>
                </c:pt>
                <c:pt idx="100">
                  <c:v>9.7430761396738212</c:v>
                </c:pt>
                <c:pt idx="101">
                  <c:v>10.070949207122524</c:v>
                </c:pt>
                <c:pt idx="102">
                  <c:v>14.125704235341956</c:v>
                </c:pt>
                <c:pt idx="103">
                  <c:v>6.1986186538258092</c:v>
                </c:pt>
                <c:pt idx="104">
                  <c:v>11.213315171280861</c:v>
                </c:pt>
                <c:pt idx="105">
                  <c:v>8.7452913687771474</c:v>
                </c:pt>
                <c:pt idx="106">
                  <c:v>19.086011904605098</c:v>
                </c:pt>
                <c:pt idx="107">
                  <c:v>12.66339815564465</c:v>
                </c:pt>
                <c:pt idx="108">
                  <c:v>#N/A</c:v>
                </c:pt>
                <c:pt idx="109">
                  <c:v>21.438011546319569</c:v>
                </c:pt>
                <c:pt idx="110">
                  <c:v>13.889037427939659</c:v>
                </c:pt>
                <c:pt idx="111">
                  <c:v>13.871791491474569</c:v>
                </c:pt>
                <c:pt idx="112">
                  <c:v>18.361369348011117</c:v>
                </c:pt>
                <c:pt idx="113">
                  <c:v>16.358546476089934</c:v>
                </c:pt>
                <c:pt idx="114">
                  <c:v>16.115243363676001</c:v>
                </c:pt>
                <c:pt idx="115">
                  <c:v>15.617278348890407</c:v>
                </c:pt>
                <c:pt idx="116">
                  <c:v>17.15275608894116</c:v>
                </c:pt>
                <c:pt idx="117">
                  <c:v>13.343328313507488</c:v>
                </c:pt>
                <c:pt idx="118">
                  <c:v>15.499764110809316</c:v>
                </c:pt>
                <c:pt idx="119">
                  <c:v>16.306365049376982</c:v>
                </c:pt>
                <c:pt idx="120">
                  <c:v>17.563597966769965</c:v>
                </c:pt>
                <c:pt idx="121">
                  <c:v>14.463382172018715</c:v>
                </c:pt>
                <c:pt idx="122">
                  <c:v>17.022309557110876</c:v>
                </c:pt>
                <c:pt idx="123">
                  <c:v>#N/A</c:v>
                </c:pt>
                <c:pt idx="124">
                  <c:v>12.429865761852101</c:v>
                </c:pt>
                <c:pt idx="125">
                  <c:v>12.431072481859058</c:v>
                </c:pt>
                <c:pt idx="126">
                  <c:v>12.253590257752322</c:v>
                </c:pt>
                <c:pt idx="127">
                  <c:v>14.10500213807294</c:v>
                </c:pt>
                <c:pt idx="128">
                  <c:v>11.23835874160485</c:v>
                </c:pt>
                <c:pt idx="129">
                  <c:v>12.141075221360719</c:v>
                </c:pt>
                <c:pt idx="130">
                  <c:v>15.165982524837675</c:v>
                </c:pt>
                <c:pt idx="131">
                  <c:v>15.086173418583279</c:v>
                </c:pt>
                <c:pt idx="132">
                  <c:v>12.78526333925922</c:v>
                </c:pt>
                <c:pt idx="133">
                  <c:v>14.070725469855228</c:v>
                </c:pt>
                <c:pt idx="134">
                  <c:v>13.902278982618991</c:v>
                </c:pt>
                <c:pt idx="135">
                  <c:v>15.441780470347165</c:v>
                </c:pt>
                <c:pt idx="136">
                  <c:v>17.127366792104596</c:v>
                </c:pt>
                <c:pt idx="137">
                  <c:v>7.6623455779517622</c:v>
                </c:pt>
                <c:pt idx="138">
                  <c:v>17.649598260088453</c:v>
                </c:pt>
                <c:pt idx="139">
                  <c:v>8.044676153380836</c:v>
                </c:pt>
                <c:pt idx="140">
                  <c:v>9.127747933275419</c:v>
                </c:pt>
                <c:pt idx="141">
                  <c:v>31.667255171693345</c:v>
                </c:pt>
                <c:pt idx="142">
                  <c:v>31.789456540471303</c:v>
                </c:pt>
                <c:pt idx="143">
                  <c:v>11.975153650593626</c:v>
                </c:pt>
                <c:pt idx="144">
                  <c:v>9.9569751958688837</c:v>
                </c:pt>
                <c:pt idx="145">
                  <c:v>14.230696367399611</c:v>
                </c:pt>
                <c:pt idx="146">
                  <c:v>22.759792999891417</c:v>
                </c:pt>
                <c:pt idx="147">
                  <c:v>22.524913689795149</c:v>
                </c:pt>
                <c:pt idx="148">
                  <c:v>22.379330825561436</c:v>
                </c:pt>
                <c:pt idx="149">
                  <c:v>22.221316896743385</c:v>
                </c:pt>
                <c:pt idx="150">
                  <c:v>21.776478411231707</c:v>
                </c:pt>
                <c:pt idx="151">
                  <c:v>14.881925324455402</c:v>
                </c:pt>
                <c:pt idx="152">
                  <c:v>#N/A</c:v>
                </c:pt>
                <c:pt idx="153">
                  <c:v>7.9066374245073838</c:v>
                </c:pt>
                <c:pt idx="154">
                  <c:v>17.982389850665935</c:v>
                </c:pt>
                <c:pt idx="155">
                  <c:v>15.795102553011786</c:v>
                </c:pt>
                <c:pt idx="156">
                  <c:v>18.871319537708182</c:v>
                </c:pt>
                <c:pt idx="157">
                  <c:v>11.942564150970584</c:v>
                </c:pt>
                <c:pt idx="158">
                  <c:v>11.402441073019009</c:v>
                </c:pt>
                <c:pt idx="159">
                  <c:v>7.9190421079271562</c:v>
                </c:pt>
                <c:pt idx="160">
                  <c:v>13.146799648799059</c:v>
                </c:pt>
                <c:pt idx="161">
                  <c:v>13.944970097044958</c:v>
                </c:pt>
                <c:pt idx="162">
                  <c:v>13.595061368372942</c:v>
                </c:pt>
                <c:pt idx="163">
                  <c:v>5.4622950710107148</c:v>
                </c:pt>
                <c:pt idx="164">
                  <c:v>18.901656910710969</c:v>
                </c:pt>
                <c:pt idx="165">
                  <c:v>14.417942583066004</c:v>
                </c:pt>
                <c:pt idx="166">
                  <c:v>10.888393707690327</c:v>
                </c:pt>
                <c:pt idx="167">
                  <c:v>9.4351108955927252</c:v>
                </c:pt>
                <c:pt idx="168">
                  <c:v>9.590825931475992</c:v>
                </c:pt>
                <c:pt idx="169">
                  <c:v>20.530806248016383</c:v>
                </c:pt>
                <c:pt idx="170">
                  <c:v>12.177224734586659</c:v>
                </c:pt>
                <c:pt idx="171">
                  <c:v>9.4731538654268945</c:v>
                </c:pt>
                <c:pt idx="172">
                  <c:v>9.4731538654268945</c:v>
                </c:pt>
                <c:pt idx="173">
                  <c:v>8.7413365335758115</c:v>
                </c:pt>
                <c:pt idx="174">
                  <c:v>8.7413365335758115</c:v>
                </c:pt>
                <c:pt idx="175">
                  <c:v>13.397211868599948</c:v>
                </c:pt>
                <c:pt idx="176">
                  <c:v>19.301421867091587</c:v>
                </c:pt>
                <c:pt idx="177">
                  <c:v>21.072531530258189</c:v>
                </c:pt>
                <c:pt idx="178">
                  <c:v>12.230645660853945</c:v>
                </c:pt>
                <c:pt idx="179">
                  <c:v>13.630619860213955</c:v>
                </c:pt>
                <c:pt idx="180">
                  <c:v>16.94601610633692</c:v>
                </c:pt>
                <c:pt idx="181">
                  <c:v>8.965018013005249</c:v>
                </c:pt>
                <c:pt idx="182">
                  <c:v>20.67090213459856</c:v>
                </c:pt>
                <c:pt idx="183">
                  <c:v>15.028048773199615</c:v>
                </c:pt>
                <c:pt idx="184">
                  <c:v>12.78799521293498</c:v>
                </c:pt>
                <c:pt idx="185">
                  <c:v>16.701498787805985</c:v>
                </c:pt>
                <c:pt idx="186">
                  <c:v>11.785552196442527</c:v>
                </c:pt>
                <c:pt idx="187">
                  <c:v>10.979468323150947</c:v>
                </c:pt>
                <c:pt idx="188">
                  <c:v>#N/A</c:v>
                </c:pt>
                <c:pt idx="190">
                  <c:v>12.419990127045518</c:v>
                </c:pt>
                <c:pt idx="191">
                  <c:v>#N/A</c:v>
                </c:pt>
                <c:pt idx="192">
                  <c:v>8.7151865959394748</c:v>
                </c:pt>
                <c:pt idx="193">
                  <c:v>3.3305302109296013</c:v>
                </c:pt>
                <c:pt idx="194">
                  <c:v>14.70339295399784</c:v>
                </c:pt>
                <c:pt idx="195">
                  <c:v>13.192073863150249</c:v>
                </c:pt>
                <c:pt idx="196">
                  <c:v>4.1848443266402855</c:v>
                </c:pt>
                <c:pt idx="197">
                  <c:v>3.8457498783848294</c:v>
                </c:pt>
                <c:pt idx="198">
                  <c:v>4.023681583884807</c:v>
                </c:pt>
                <c:pt idx="199">
                  <c:v>3.6305147149537209</c:v>
                </c:pt>
                <c:pt idx="200">
                  <c:v>8.6523663731124874</c:v>
                </c:pt>
                <c:pt idx="201">
                  <c:v>4.4901962431007201</c:v>
                </c:pt>
                <c:pt idx="202">
                  <c:v>4.86855573655758</c:v>
                </c:pt>
                <c:pt idx="203">
                  <c:v>2.6696661197147082</c:v>
                </c:pt>
                <c:pt idx="204">
                  <c:v>6.5916838911452835</c:v>
                </c:pt>
                <c:pt idx="205">
                  <c:v>4.8980392188668747</c:v>
                </c:pt>
                <c:pt idx="206">
                  <c:v>11.617632090041205</c:v>
                </c:pt>
                <c:pt idx="207">
                  <c:v>14.534511892440044</c:v>
                </c:pt>
                <c:pt idx="208">
                  <c:v>11.404027981864214</c:v>
                </c:pt>
                <c:pt idx="209">
                  <c:v>10.501123962567217</c:v>
                </c:pt>
                <c:pt idx="210">
                  <c:v>10.384050137999193</c:v>
                </c:pt>
                <c:pt idx="211">
                  <c:v>10.484973873259559</c:v>
                </c:pt>
                <c:pt idx="212">
                  <c:v>9.061288625184261</c:v>
                </c:pt>
                <c:pt idx="213">
                  <c:v>12.284467397298599</c:v>
                </c:pt>
                <c:pt idx="214">
                  <c:v>11.918984594143057</c:v>
                </c:pt>
                <c:pt idx="215">
                  <c:v>6.2150524164920276</c:v>
                </c:pt>
                <c:pt idx="216">
                  <c:v>9.3308585624967346</c:v>
                </c:pt>
                <c:pt idx="217">
                  <c:v>12.234601505710454</c:v>
                </c:pt>
                <c:pt idx="218">
                  <c:v>8.3513215111868941</c:v>
                </c:pt>
                <c:pt idx="219">
                  <c:v>14.591939339381373</c:v>
                </c:pt>
                <c:pt idx="220">
                  <c:v>11.913935739451645</c:v>
                </c:pt>
                <c:pt idx="221">
                  <c:v>7.4965315292036871</c:v>
                </c:pt>
                <c:pt idx="222">
                  <c:v>6.9479977787899792</c:v>
                </c:pt>
                <c:pt idx="223">
                  <c:v>19.806894352071719</c:v>
                </c:pt>
                <c:pt idx="224">
                  <c:v>11.003431713609528</c:v>
                </c:pt>
                <c:pt idx="225">
                  <c:v>5.8888654800785396</c:v>
                </c:pt>
                <c:pt idx="226">
                  <c:v>22.912789021404215</c:v>
                </c:pt>
                <c:pt idx="227">
                  <c:v>16.162202909858273</c:v>
                </c:pt>
                <c:pt idx="228">
                  <c:v>14.874653156508671</c:v>
                </c:pt>
                <c:pt idx="229">
                  <c:v>5.826533851718926</c:v>
                </c:pt>
                <c:pt idx="230">
                  <c:v>14.643203955309872</c:v>
                </c:pt>
                <c:pt idx="231">
                  <c:v>14.166913669276116</c:v>
                </c:pt>
                <c:pt idx="232">
                  <c:v>12.140850530645121</c:v>
                </c:pt>
                <c:pt idx="233">
                  <c:v>6.9333223259309218</c:v>
                </c:pt>
                <c:pt idx="234">
                  <c:v>18.410489368591278</c:v>
                </c:pt>
                <c:pt idx="235">
                  <c:v>13.874053217182121</c:v>
                </c:pt>
                <c:pt idx="236">
                  <c:v>14.111235818155984</c:v>
                </c:pt>
                <c:pt idx="237">
                  <c:v>12.753190227470752</c:v>
                </c:pt>
                <c:pt idx="238">
                  <c:v>13.273959490023934</c:v>
                </c:pt>
                <c:pt idx="239">
                  <c:v>8.4325022180968308</c:v>
                </c:pt>
                <c:pt idx="240">
                  <c:v>9.6982327009468232</c:v>
                </c:pt>
                <c:pt idx="241">
                  <c:v>7.0671263509711899</c:v>
                </c:pt>
                <c:pt idx="242">
                  <c:v>9.0001931498371768</c:v>
                </c:pt>
                <c:pt idx="243">
                  <c:v>7.681572993122038</c:v>
                </c:pt>
                <c:pt idx="244">
                  <c:v>9.5856964441291712</c:v>
                </c:pt>
                <c:pt idx="245">
                  <c:v>10.079651206161399</c:v>
                </c:pt>
                <c:pt idx="246">
                  <c:v>13.823242334496221</c:v>
                </c:pt>
                <c:pt idx="247">
                  <c:v>11.992487839352151</c:v>
                </c:pt>
                <c:pt idx="248">
                  <c:v>18.485472813953979</c:v>
                </c:pt>
                <c:pt idx="249">
                  <c:v>9.2273452571858332</c:v>
                </c:pt>
                <c:pt idx="250">
                  <c:v>6.3873618157847307</c:v>
                </c:pt>
                <c:pt idx="251">
                  <c:v>6.9271944464273991</c:v>
                </c:pt>
                <c:pt idx="252">
                  <c:v>13.21218977564806</c:v>
                </c:pt>
                <c:pt idx="253">
                  <c:v>14.017274492586777</c:v>
                </c:pt>
                <c:pt idx="254">
                  <c:v>13.875249681014397</c:v>
                </c:pt>
                <c:pt idx="255">
                  <c:v>14.780571071577661</c:v>
                </c:pt>
                <c:pt idx="256">
                  <c:v>13.557366475710577</c:v>
                </c:pt>
                <c:pt idx="257">
                  <c:v>18.378547963795331</c:v>
                </c:pt>
                <c:pt idx="258">
                  <c:v>#N/A</c:v>
                </c:pt>
                <c:pt idx="259">
                  <c:v>11.454156465444054</c:v>
                </c:pt>
                <c:pt idx="260">
                  <c:v>12.190092139440043</c:v>
                </c:pt>
                <c:pt idx="261">
                  <c:v>17.661220251777848</c:v>
                </c:pt>
                <c:pt idx="262">
                  <c:v>13.080654584012173</c:v>
                </c:pt>
                <c:pt idx="263">
                  <c:v>13.392572345822657</c:v>
                </c:pt>
                <c:pt idx="264">
                  <c:v>#N/A</c:v>
                </c:pt>
                <c:pt idx="265">
                  <c:v>14.709132080612529</c:v>
                </c:pt>
                <c:pt idx="266">
                  <c:v>20.640587799838215</c:v>
                </c:pt>
                <c:pt idx="267">
                  <c:v>11.407054886921921</c:v>
                </c:pt>
                <c:pt idx="268">
                  <c:v>17.81866454891151</c:v>
                </c:pt>
                <c:pt idx="269">
                  <c:v>17.971895514477552</c:v>
                </c:pt>
                <c:pt idx="270">
                  <c:v>21.610184343477002</c:v>
                </c:pt>
                <c:pt idx="271">
                  <c:v>9.2441035380555601</c:v>
                </c:pt>
                <c:pt idx="272">
                  <c:v>10.200170577252329</c:v>
                </c:pt>
                <c:pt idx="273">
                  <c:v>16.440186104539176</c:v>
                </c:pt>
                <c:pt idx="274">
                  <c:v>17.786351012520853</c:v>
                </c:pt>
                <c:pt idx="275">
                  <c:v>12.127695334568692</c:v>
                </c:pt>
                <c:pt idx="276">
                  <c:v>12.317196816894381</c:v>
                </c:pt>
                <c:pt idx="277">
                  <c:v>14.070820153189434</c:v>
                </c:pt>
                <c:pt idx="278">
                  <c:v>18.196954235258954</c:v>
                </c:pt>
                <c:pt idx="279">
                  <c:v>18.80959460970654</c:v>
                </c:pt>
                <c:pt idx="280">
                  <c:v>11.838576624782345</c:v>
                </c:pt>
                <c:pt idx="281">
                  <c:v>11.863844960636587</c:v>
                </c:pt>
                <c:pt idx="282">
                  <c:v>30.033520395014584</c:v>
                </c:pt>
                <c:pt idx="283">
                  <c:v>13.52061895928513</c:v>
                </c:pt>
                <c:pt idx="284">
                  <c:v>13.060155343728699</c:v>
                </c:pt>
                <c:pt idx="285">
                  <c:v>16.903174210233967</c:v>
                </c:pt>
                <c:pt idx="286">
                  <c:v>8.9667518852241361</c:v>
                </c:pt>
                <c:pt idx="287">
                  <c:v>#N/A</c:v>
                </c:pt>
                <c:pt idx="288">
                  <c:v>17.131918240775398</c:v>
                </c:pt>
                <c:pt idx="289">
                  <c:v>18.564834913034275</c:v>
                </c:pt>
                <c:pt idx="290">
                  <c:v>14.615134399755727</c:v>
                </c:pt>
                <c:pt idx="291">
                  <c:v>#N/A</c:v>
                </c:pt>
                <c:pt idx="292">
                  <c:v>14.463033561148055</c:v>
                </c:pt>
                <c:pt idx="293">
                  <c:v>20.848822847883426</c:v>
                </c:pt>
                <c:pt idx="294">
                  <c:v>12.824671466707279</c:v>
                </c:pt>
                <c:pt idx="295">
                  <c:v>13.777681388670874</c:v>
                </c:pt>
                <c:pt idx="296">
                  <c:v>13.789968195354046</c:v>
                </c:pt>
                <c:pt idx="297">
                  <c:v>13.625732573551455</c:v>
                </c:pt>
                <c:pt idx="298">
                  <c:v>13.967685580197639</c:v>
                </c:pt>
                <c:pt idx="299">
                  <c:v>7.1328473994390054</c:v>
                </c:pt>
                <c:pt idx="300">
                  <c:v>17.172259560974801</c:v>
                </c:pt>
                <c:pt idx="301">
                  <c:v>16.102338835040747</c:v>
                </c:pt>
                <c:pt idx="302">
                  <c:v>15.822784956304334</c:v>
                </c:pt>
                <c:pt idx="303">
                  <c:v>17.706177832902295</c:v>
                </c:pt>
                <c:pt idx="304">
                  <c:v>17.344538733349331</c:v>
                </c:pt>
                <c:pt idx="305">
                  <c:v>16.363509572994143</c:v>
                </c:pt>
                <c:pt idx="306">
                  <c:v>16.221883663607876</c:v>
                </c:pt>
                <c:pt idx="307">
                  <c:v>19.372838186115445</c:v>
                </c:pt>
                <c:pt idx="308">
                  <c:v>18.921112386228963</c:v>
                </c:pt>
                <c:pt idx="309">
                  <c:v>19.047003134697551</c:v>
                </c:pt>
                <c:pt idx="310">
                  <c:v>14.825069957575273</c:v>
                </c:pt>
                <c:pt idx="311">
                  <c:v>14.682685314614901</c:v>
                </c:pt>
                <c:pt idx="312">
                  <c:v>#N/A</c:v>
                </c:pt>
                <c:pt idx="313">
                  <c:v>#N/A</c:v>
                </c:pt>
                <c:pt idx="315">
                  <c:v>#N/A</c:v>
                </c:pt>
                <c:pt idx="316">
                  <c:v>#N/A</c:v>
                </c:pt>
                <c:pt idx="317">
                  <c:v>#N/A</c:v>
                </c:pt>
                <c:pt idx="318">
                  <c:v>12.419990127045518</c:v>
                </c:pt>
                <c:pt idx="319">
                  <c:v>10.919053200667356</c:v>
                </c:pt>
                <c:pt idx="320">
                  <c:v>10.097353957975198</c:v>
                </c:pt>
                <c:pt idx="321">
                  <c:v>11.587705983865996</c:v>
                </c:pt>
                <c:pt idx="322">
                  <c:v>6.0105624058106955</c:v>
                </c:pt>
                <c:pt idx="323">
                  <c:v>10.016747065148056</c:v>
                </c:pt>
                <c:pt idx="324">
                  <c:v>10.384050137999193</c:v>
                </c:pt>
                <c:pt idx="325">
                  <c:v>10.484973873259559</c:v>
                </c:pt>
                <c:pt idx="326">
                  <c:v>6.0117902688393592</c:v>
                </c:pt>
                <c:pt idx="327">
                  <c:v>6.6484197227377484</c:v>
                </c:pt>
                <c:pt idx="328">
                  <c:v>12.505697026341327</c:v>
                </c:pt>
                <c:pt idx="329">
                  <c:v>12.687336130799691</c:v>
                </c:pt>
                <c:pt idx="330">
                  <c:v>13.993755638851983</c:v>
                </c:pt>
                <c:pt idx="331">
                  <c:v>11.613689050377079</c:v>
                </c:pt>
                <c:pt idx="332">
                  <c:v>13.057823661829644</c:v>
                </c:pt>
                <c:pt idx="333">
                  <c:v>13.411612841332492</c:v>
                </c:pt>
                <c:pt idx="334">
                  <c:v>14.282729327375076</c:v>
                </c:pt>
                <c:pt idx="335">
                  <c:v>#N/A</c:v>
                </c:pt>
                <c:pt idx="336">
                  <c:v>10.483306805793486</c:v>
                </c:pt>
                <c:pt idx="337">
                  <c:v>14.031425137065499</c:v>
                </c:pt>
                <c:pt idx="338">
                  <c:v>10.92057667853474</c:v>
                </c:pt>
                <c:pt idx="339">
                  <c:v>21.721778976874706</c:v>
                </c:pt>
                <c:pt idx="340">
                  <c:v>#N/A</c:v>
                </c:pt>
                <c:pt idx="341">
                  <c:v>15.667363042557254</c:v>
                </c:pt>
                <c:pt idx="342">
                  <c:v>18.196954235258954</c:v>
                </c:pt>
                <c:pt idx="343">
                  <c:v>20.047731846853345</c:v>
                </c:pt>
                <c:pt idx="344">
                  <c:v>15.754599172448572</c:v>
                </c:pt>
                <c:pt idx="345">
                  <c:v>13.173560559215074</c:v>
                </c:pt>
                <c:pt idx="346">
                  <c:v>20.473860955420111</c:v>
                </c:pt>
                <c:pt idx="347">
                  <c:v>17.657809996916548</c:v>
                </c:pt>
                <c:pt idx="348">
                  <c:v>13.836777278538978</c:v>
                </c:pt>
                <c:pt idx="349">
                  <c:v>9.119793570288115</c:v>
                </c:pt>
                <c:pt idx="352">
                  <c:v>6.6883849536098658</c:v>
                </c:pt>
                <c:pt idx="353">
                  <c:v>9.2783047439070252</c:v>
                </c:pt>
                <c:pt idx="354">
                  <c:v>5.5798921254344869</c:v>
                </c:pt>
                <c:pt idx="355">
                  <c:v>5.1027731814195763</c:v>
                </c:pt>
                <c:pt idx="356">
                  <c:v>#N/A</c:v>
                </c:pt>
                <c:pt idx="357">
                  <c:v>4.4861318824759335</c:v>
                </c:pt>
                <c:pt idx="358">
                  <c:v>8.6928554984952751</c:v>
                </c:pt>
                <c:pt idx="359">
                  <c:v>13.577709619173755</c:v>
                </c:pt>
                <c:pt idx="360">
                  <c:v>9.4114866498861254</c:v>
                </c:pt>
                <c:pt idx="361">
                  <c:v>13.712171657778782</c:v>
                </c:pt>
                <c:pt idx="362">
                  <c:v>13.961097342798203</c:v>
                </c:pt>
                <c:pt idx="363">
                  <c:v>12.750884889736815</c:v>
                </c:pt>
                <c:pt idx="364">
                  <c:v>20.584248925977768</c:v>
                </c:pt>
                <c:pt idx="365">
                  <c:v>9.4024082512519591</c:v>
                </c:pt>
                <c:pt idx="366">
                  <c:v>16.091283191349387</c:v>
                </c:pt>
                <c:pt idx="367">
                  <c:v>14.050497717548744</c:v>
                </c:pt>
                <c:pt idx="368">
                  <c:v>14.588529031282899</c:v>
                </c:pt>
                <c:pt idx="369">
                  <c:v>9.3951246889951019</c:v>
                </c:pt>
                <c:pt idx="370">
                  <c:v>13.35982692960066</c:v>
                </c:pt>
                <c:pt idx="371">
                  <c:v>15.807097503813567</c:v>
                </c:pt>
                <c:pt idx="372">
                  <c:v>17.495994793979456</c:v>
                </c:pt>
                <c:pt idx="373">
                  <c:v>19.972875875647876</c:v>
                </c:pt>
                <c:pt idx="374">
                  <c:v>9.0105496989100509</c:v>
                </c:pt>
                <c:pt idx="375">
                  <c:v>9.0875661018670737</c:v>
                </c:pt>
                <c:pt idx="376">
                  <c:v>8.6019330228678452</c:v>
                </c:pt>
                <c:pt idx="377">
                  <c:v>10.145637872758417</c:v>
                </c:pt>
                <c:pt idx="378">
                  <c:v>9.2210315808753336</c:v>
                </c:pt>
                <c:pt idx="379">
                  <c:v>8.3021436057249591</c:v>
                </c:pt>
                <c:pt idx="380">
                  <c:v>7.8819292070636182</c:v>
                </c:pt>
                <c:pt idx="381">
                  <c:v>7.6643932359443774</c:v>
                </c:pt>
                <c:pt idx="382">
                  <c:v>11.248679378662164</c:v>
                </c:pt>
                <c:pt idx="383">
                  <c:v>6.5122994895207764</c:v>
                </c:pt>
                <c:pt idx="384">
                  <c:v>12.301345703242019</c:v>
                </c:pt>
                <c:pt idx="385">
                  <c:v>10.701104155491745</c:v>
                </c:pt>
                <c:pt idx="386">
                  <c:v>8.8912582757943284</c:v>
                </c:pt>
                <c:pt idx="387">
                  <c:v>12.762082429680305</c:v>
                </c:pt>
                <c:pt idx="388">
                  <c:v>11.407054886921921</c:v>
                </c:pt>
                <c:pt idx="389">
                  <c:v>8.7293004703330901</c:v>
                </c:pt>
                <c:pt idx="390">
                  <c:v>8.4325763281310078</c:v>
                </c:pt>
                <c:pt idx="391">
                  <c:v>11.192306000736378</c:v>
                </c:pt>
                <c:pt idx="392">
                  <c:v>11.536036463064656</c:v>
                </c:pt>
                <c:pt idx="393">
                  <c:v>14.361046861941064</c:v>
                </c:pt>
                <c:pt idx="394">
                  <c:v>12.683967815677894</c:v>
                </c:pt>
                <c:pt idx="395">
                  <c:v>10.564859980483854</c:v>
                </c:pt>
                <c:pt idx="396">
                  <c:v>15.202467297558345</c:v>
                </c:pt>
                <c:pt idx="397">
                  <c:v>15.076525708588179</c:v>
                </c:pt>
                <c:pt idx="398">
                  <c:v>14.968470477664184</c:v>
                </c:pt>
                <c:pt idx="399">
                  <c:v>14.587383607200831</c:v>
                </c:pt>
                <c:pt idx="400">
                  <c:v>14.585274619884983</c:v>
                </c:pt>
                <c:pt idx="401">
                  <c:v>15.352516840633912</c:v>
                </c:pt>
                <c:pt idx="402">
                  <c:v>10.465590611999698</c:v>
                </c:pt>
                <c:pt idx="403">
                  <c:v>6.9545465770734802</c:v>
                </c:pt>
                <c:pt idx="404">
                  <c:v>16.477943913220745</c:v>
                </c:pt>
                <c:pt idx="405">
                  <c:v>14.050285790840038</c:v>
                </c:pt>
                <c:pt idx="406">
                  <c:v>12.509325603724497</c:v>
                </c:pt>
                <c:pt idx="407">
                  <c:v>13.447051328184463</c:v>
                </c:pt>
                <c:pt idx="408">
                  <c:v>11.863844960636587</c:v>
                </c:pt>
                <c:pt idx="409">
                  <c:v>14.128434343462906</c:v>
                </c:pt>
                <c:pt idx="410">
                  <c:v>9.4566553564325986</c:v>
                </c:pt>
                <c:pt idx="411">
                  <c:v>14.552896056478772</c:v>
                </c:pt>
                <c:pt idx="412">
                  <c:v>11.013661099438552</c:v>
                </c:pt>
                <c:pt idx="413">
                  <c:v>12.215976865085086</c:v>
                </c:pt>
                <c:pt idx="414">
                  <c:v>11.68887509329538</c:v>
                </c:pt>
                <c:pt idx="415">
                  <c:v>13.52061895928513</c:v>
                </c:pt>
                <c:pt idx="416">
                  <c:v>13.060155343728699</c:v>
                </c:pt>
                <c:pt idx="417">
                  <c:v>16.825474607558576</c:v>
                </c:pt>
                <c:pt idx="418">
                  <c:v>16.676369014307625</c:v>
                </c:pt>
                <c:pt idx="419">
                  <c:v>12.396797673201378</c:v>
                </c:pt>
                <c:pt idx="420">
                  <c:v>#N/A</c:v>
                </c:pt>
                <c:pt idx="421">
                  <c:v>17.903190989603559</c:v>
                </c:pt>
                <c:pt idx="422">
                  <c:v>#N/A</c:v>
                </c:pt>
                <c:pt idx="423">
                  <c:v>#N/A</c:v>
                </c:pt>
                <c:pt idx="424">
                  <c:v>9.5478604619804504</c:v>
                </c:pt>
                <c:pt idx="425">
                  <c:v>11.436687750630501</c:v>
                </c:pt>
                <c:pt idx="426">
                  <c:v>19.866973267940299</c:v>
                </c:pt>
                <c:pt idx="427">
                  <c:v>22.312641161290216</c:v>
                </c:pt>
                <c:pt idx="428">
                  <c:v>20.890936994708042</c:v>
                </c:pt>
                <c:pt idx="429">
                  <c:v>12.409039263983683</c:v>
                </c:pt>
                <c:pt idx="430">
                  <c:v>10.110810974345323</c:v>
                </c:pt>
                <c:pt idx="431">
                  <c:v>16.074370789180652</c:v>
                </c:pt>
                <c:pt idx="432">
                  <c:v>6.9909200939185716</c:v>
                </c:pt>
                <c:pt idx="433">
                  <c:v>#N/A</c:v>
                </c:pt>
                <c:pt idx="434">
                  <c:v>2.8687949414146594</c:v>
                </c:pt>
                <c:pt idx="435">
                  <c:v>13.595061368372942</c:v>
                </c:pt>
                <c:pt idx="436">
                  <c:v>7.424233027847488</c:v>
                </c:pt>
                <c:pt idx="437">
                  <c:v>7.3125312387590977</c:v>
                </c:pt>
                <c:pt idx="438">
                  <c:v>7.6698162743045719</c:v>
                </c:pt>
                <c:pt idx="439">
                  <c:v>8.4656957563021678</c:v>
                </c:pt>
                <c:pt idx="440">
                  <c:v>17.11432588573054</c:v>
                </c:pt>
                <c:pt idx="441">
                  <c:v>7.9376614424882899</c:v>
                </c:pt>
                <c:pt idx="442">
                  <c:v>16.986742313333426</c:v>
                </c:pt>
                <c:pt idx="443">
                  <c:v>16.793924432610041</c:v>
                </c:pt>
                <c:pt idx="444">
                  <c:v>16.053374089563711</c:v>
                </c:pt>
                <c:pt idx="445">
                  <c:v>17.404527598327398</c:v>
                </c:pt>
                <c:pt idx="446">
                  <c:v>15.818477402966447</c:v>
                </c:pt>
                <c:pt idx="447">
                  <c:v>11.70950199174939</c:v>
                </c:pt>
                <c:pt idx="448">
                  <c:v>13.397211868599948</c:v>
                </c:pt>
                <c:pt idx="449">
                  <c:v>21.375118107768763</c:v>
                </c:pt>
                <c:pt idx="450">
                  <c:v>20.530806248016383</c:v>
                </c:pt>
                <c:pt idx="451">
                  <c:v>11.785784479353879</c:v>
                </c:pt>
                <c:pt idx="452">
                  <c:v>10.979468323150947</c:v>
                </c:pt>
                <c:pt idx="453">
                  <c:v>9.3256306584983584</c:v>
                </c:pt>
                <c:pt idx="454">
                  <c:v>19.294983660647517</c:v>
                </c:pt>
                <c:pt idx="455">
                  <c:v>16.060835283620218</c:v>
                </c:pt>
                <c:pt idx="456">
                  <c:v>13.782515237138018</c:v>
                </c:pt>
                <c:pt idx="457">
                  <c:v>13.416185636089049</c:v>
                </c:pt>
                <c:pt idx="458">
                  <c:v>11.96954426521817</c:v>
                </c:pt>
                <c:pt idx="459">
                  <c:v>#N/A</c:v>
                </c:pt>
                <c:pt idx="461">
                  <c:v>8.9343042538600308</c:v>
                </c:pt>
                <c:pt idx="462">
                  <c:v>12.020484491279541</c:v>
                </c:pt>
                <c:pt idx="463">
                  <c:v>#N/A</c:v>
                </c:pt>
                <c:pt idx="464">
                  <c:v>9.8103118443959563</c:v>
                </c:pt>
                <c:pt idx="465">
                  <c:v>6.0018638360745511</c:v>
                </c:pt>
                <c:pt idx="466">
                  <c:v>13.844113597141114</c:v>
                </c:pt>
                <c:pt idx="467">
                  <c:v>13.061728348748098</c:v>
                </c:pt>
                <c:pt idx="468">
                  <c:v>11.282887765701178</c:v>
                </c:pt>
                <c:pt idx="469">
                  <c:v>7.5860314908410578</c:v>
                </c:pt>
                <c:pt idx="470">
                  <c:v>9.1378891053857245</c:v>
                </c:pt>
                <c:pt idx="471">
                  <c:v>15.098169375833992</c:v>
                </c:pt>
                <c:pt idx="472">
                  <c:v>9.2802036713865874</c:v>
                </c:pt>
                <c:pt idx="473">
                  <c:v>8.4220329178659235</c:v>
                </c:pt>
                <c:pt idx="474">
                  <c:v>12.889559860869394</c:v>
                </c:pt>
                <c:pt idx="475">
                  <c:v>8.4008334643615843</c:v>
                </c:pt>
                <c:pt idx="476">
                  <c:v>9.2353594110686252</c:v>
                </c:pt>
                <c:pt idx="477">
                  <c:v>10.220291083929084</c:v>
                </c:pt>
                <c:pt idx="478">
                  <c:v>9.3549734935627313</c:v>
                </c:pt>
                <c:pt idx="479">
                  <c:v>7.4286445251435298</c:v>
                </c:pt>
                <c:pt idx="480">
                  <c:v>#N/A</c:v>
                </c:pt>
                <c:pt idx="481">
                  <c:v>12.913678978660164</c:v>
                </c:pt>
                <c:pt idx="482">
                  <c:v>12.114947793151238</c:v>
                </c:pt>
                <c:pt idx="483">
                  <c:v>12.009981409016323</c:v>
                </c:pt>
                <c:pt idx="484">
                  <c:v>7.335326482806023</c:v>
                </c:pt>
                <c:pt idx="485">
                  <c:v>11.782110671337932</c:v>
                </c:pt>
                <c:pt idx="486">
                  <c:v>10.331592738532569</c:v>
                </c:pt>
                <c:pt idx="487">
                  <c:v>6.4448551770761222</c:v>
                </c:pt>
                <c:pt idx="488">
                  <c:v>17.572796569302991</c:v>
                </c:pt>
                <c:pt idx="489">
                  <c:v>7.3806170203804484</c:v>
                </c:pt>
                <c:pt idx="490">
                  <c:v>8.9285164615665078</c:v>
                </c:pt>
                <c:pt idx="491">
                  <c:v>7.9933886675266974</c:v>
                </c:pt>
                <c:pt idx="492">
                  <c:v>9.204146205228442</c:v>
                </c:pt>
                <c:pt idx="493">
                  <c:v>12.167366022141657</c:v>
                </c:pt>
                <c:pt idx="494">
                  <c:v>10.990420024517897</c:v>
                </c:pt>
                <c:pt idx="495">
                  <c:v>17.235193976257449</c:v>
                </c:pt>
                <c:pt idx="496">
                  <c:v>17.131918240775398</c:v>
                </c:pt>
                <c:pt idx="497">
                  <c:v>7.9503444062330626</c:v>
                </c:pt>
                <c:pt idx="498">
                  <c:v>20.443926443547923</c:v>
                </c:pt>
                <c:pt idx="499">
                  <c:v>17.951873404974464</c:v>
                </c:pt>
                <c:pt idx="500">
                  <c:v>18.788697380161953</c:v>
                </c:pt>
                <c:pt idx="501">
                  <c:v>13.940682142034246</c:v>
                </c:pt>
                <c:pt idx="502">
                  <c:v>#N/A</c:v>
                </c:pt>
                <c:pt idx="503">
                  <c:v>9.9569751958688837</c:v>
                </c:pt>
                <c:pt idx="504">
                  <c:v>11.380768407132557</c:v>
                </c:pt>
                <c:pt idx="505">
                  <c:v>10.58393848895629</c:v>
                </c:pt>
                <c:pt idx="506">
                  <c:v>15.262626958441212</c:v>
                </c:pt>
                <c:pt idx="507">
                  <c:v>16.119486317436234</c:v>
                </c:pt>
                <c:pt idx="508">
                  <c:v>12.266015805386896</c:v>
                </c:pt>
                <c:pt idx="509">
                  <c:v>16.372532509280539</c:v>
                </c:pt>
                <c:pt idx="510">
                  <c:v>16.842493596372531</c:v>
                </c:pt>
                <c:pt idx="511">
                  <c:v>19.072192102098256</c:v>
                </c:pt>
                <c:pt idx="512">
                  <c:v>15.944282747440091</c:v>
                </c:pt>
                <c:pt idx="513">
                  <c:v>15.585200083280021</c:v>
                </c:pt>
                <c:pt idx="514">
                  <c:v>#N/A</c:v>
                </c:pt>
                <c:pt idx="515">
                  <c:v>#N/A</c:v>
                </c:pt>
                <c:pt idx="516">
                  <c:v>#N/A</c:v>
                </c:pt>
                <c:pt idx="517">
                  <c:v>8.2846782825015133</c:v>
                </c:pt>
                <c:pt idx="518">
                  <c:v>10.585945975378726</c:v>
                </c:pt>
                <c:pt idx="519">
                  <c:v>11.85218589296028</c:v>
                </c:pt>
                <c:pt idx="520">
                  <c:v>16.954193403888777</c:v>
                </c:pt>
                <c:pt idx="521">
                  <c:v>14.823534737175194</c:v>
                </c:pt>
                <c:pt idx="522">
                  <c:v>10.199481744484098</c:v>
                </c:pt>
                <c:pt idx="523">
                  <c:v>16.40579944134381</c:v>
                </c:pt>
                <c:pt idx="524">
                  <c:v>19.444047735166883</c:v>
                </c:pt>
                <c:pt idx="525">
                  <c:v>14.998724135826482</c:v>
                </c:pt>
                <c:pt idx="526">
                  <c:v>17.134336170062156</c:v>
                </c:pt>
                <c:pt idx="527">
                  <c:v>10.133483371482212</c:v>
                </c:pt>
                <c:pt idx="528">
                  <c:v>18.003658497776517</c:v>
                </c:pt>
                <c:pt idx="529">
                  <c:v>12.775996453341874</c:v>
                </c:pt>
                <c:pt idx="530">
                  <c:v>17.260060187704383</c:v>
                </c:pt>
                <c:pt idx="531">
                  <c:v>19.710220707557355</c:v>
                </c:pt>
                <c:pt idx="532">
                  <c:v>15.161321561526238</c:v>
                </c:pt>
                <c:pt idx="535">
                  <c:v>10.249984325582295</c:v>
                </c:pt>
                <c:pt idx="536">
                  <c:v>11.026526051383103</c:v>
                </c:pt>
                <c:pt idx="537">
                  <c:v>12.900728061117594</c:v>
                </c:pt>
                <c:pt idx="538">
                  <c:v>10.762143770562902</c:v>
                </c:pt>
                <c:pt idx="539">
                  <c:v>6.3645699285655812</c:v>
                </c:pt>
                <c:pt idx="540">
                  <c:v>11.740542599073695</c:v>
                </c:pt>
                <c:pt idx="541">
                  <c:v>11.178708045897675</c:v>
                </c:pt>
                <c:pt idx="542">
                  <c:v>9.3288418857354589</c:v>
                </c:pt>
                <c:pt idx="543">
                  <c:v>13.996891200159611</c:v>
                </c:pt>
                <c:pt idx="544">
                  <c:v>6.0916360988851093</c:v>
                </c:pt>
                <c:pt idx="545">
                  <c:v>7.8203865947850462</c:v>
                </c:pt>
                <c:pt idx="546">
                  <c:v>11.468934318962145</c:v>
                </c:pt>
                <c:pt idx="547">
                  <c:v>14.184769977151078</c:v>
                </c:pt>
                <c:pt idx="548">
                  <c:v>15.510248227871894</c:v>
                </c:pt>
                <c:pt idx="549">
                  <c:v>9.5229133343073311</c:v>
                </c:pt>
                <c:pt idx="550">
                  <c:v>8.6639112254890911</c:v>
                </c:pt>
                <c:pt idx="551">
                  <c:v>11.346376725497809</c:v>
                </c:pt>
                <c:pt idx="552">
                  <c:v>8.4818522340771558</c:v>
                </c:pt>
                <c:pt idx="553">
                  <c:v>9.1436883595217751</c:v>
                </c:pt>
                <c:pt idx="554">
                  <c:v>8.8215412654959007</c:v>
                </c:pt>
                <c:pt idx="555">
                  <c:v>10.289528890224954</c:v>
                </c:pt>
                <c:pt idx="556">
                  <c:v>12.024534786986695</c:v>
                </c:pt>
                <c:pt idx="557">
                  <c:v>17.056088563393796</c:v>
                </c:pt>
                <c:pt idx="558">
                  <c:v>9.9849110325440513</c:v>
                </c:pt>
                <c:pt idx="559">
                  <c:v>10.133198938553644</c:v>
                </c:pt>
                <c:pt idx="560">
                  <c:v>14.76524255418221</c:v>
                </c:pt>
                <c:pt idx="561">
                  <c:v>13.001240951679121</c:v>
                </c:pt>
                <c:pt idx="562">
                  <c:v>6.5608316146886727</c:v>
                </c:pt>
                <c:pt idx="563">
                  <c:v>7.427901488760936</c:v>
                </c:pt>
                <c:pt idx="564">
                  <c:v>7.3704627305006154</c:v>
                </c:pt>
                <c:pt idx="565">
                  <c:v>11.73123207838273</c:v>
                </c:pt>
                <c:pt idx="566">
                  <c:v>13.445403973477239</c:v>
                </c:pt>
                <c:pt idx="567">
                  <c:v>14.08249213996328</c:v>
                </c:pt>
                <c:pt idx="568">
                  <c:v>9.8570201632843677</c:v>
                </c:pt>
                <c:pt idx="569">
                  <c:v>9.9881570996031641</c:v>
                </c:pt>
                <c:pt idx="570">
                  <c:v>16.29328472959682</c:v>
                </c:pt>
                <c:pt idx="571">
                  <c:v>11.709896786289216</c:v>
                </c:pt>
                <c:pt idx="572">
                  <c:v>5.1005401191783744</c:v>
                </c:pt>
                <c:pt idx="573">
                  <c:v>10.790127674908099</c:v>
                </c:pt>
                <c:pt idx="574">
                  <c:v>12.693374658736724</c:v>
                </c:pt>
                <c:pt idx="575">
                  <c:v>8.1620222687915103</c:v>
                </c:pt>
                <c:pt idx="576">
                  <c:v>6.2094568019478968</c:v>
                </c:pt>
                <c:pt idx="577">
                  <c:v>15.020071333245182</c:v>
                </c:pt>
                <c:pt idx="578">
                  <c:v>16.183229177948309</c:v>
                </c:pt>
                <c:pt idx="579">
                  <c:v>17.664798397752865</c:v>
                </c:pt>
                <c:pt idx="580">
                  <c:v>5.9278270506950923</c:v>
                </c:pt>
                <c:pt idx="581">
                  <c:v>11.024540203325099</c:v>
                </c:pt>
                <c:pt idx="582">
                  <c:v>10.068999891949153</c:v>
                </c:pt>
                <c:pt idx="583">
                  <c:v>7.8485311899533414</c:v>
                </c:pt>
                <c:pt idx="584">
                  <c:v>10.125611813479861</c:v>
                </c:pt>
                <c:pt idx="585">
                  <c:v>14.269230789949548</c:v>
                </c:pt>
                <c:pt idx="586">
                  <c:v>15.188870501481899</c:v>
                </c:pt>
                <c:pt idx="587">
                  <c:v>8.495819734260655</c:v>
                </c:pt>
                <c:pt idx="588">
                  <c:v>3.1096640348720381</c:v>
                </c:pt>
                <c:pt idx="589">
                  <c:v>6.8042457070480875</c:v>
                </c:pt>
                <c:pt idx="590">
                  <c:v>13.561651288866736</c:v>
                </c:pt>
                <c:pt idx="591">
                  <c:v>10.139276368232494</c:v>
                </c:pt>
                <c:pt idx="592">
                  <c:v>14.590120005487432</c:v>
                </c:pt>
                <c:pt idx="593">
                  <c:v>10.206961755404169</c:v>
                </c:pt>
                <c:pt idx="594">
                  <c:v>14.679946448486929</c:v>
                </c:pt>
                <c:pt idx="595">
                  <c:v>6.9276791838572196</c:v>
                </c:pt>
                <c:pt idx="596">
                  <c:v>9.293248598294543</c:v>
                </c:pt>
                <c:pt idx="597">
                  <c:v>9.9770040811253971</c:v>
                </c:pt>
                <c:pt idx="598">
                  <c:v>7.3704206138427732</c:v>
                </c:pt>
                <c:pt idx="599">
                  <c:v>14.733103596878493</c:v>
                </c:pt>
                <c:pt idx="600">
                  <c:v>9.7961278474351925</c:v>
                </c:pt>
                <c:pt idx="601">
                  <c:v>9.8138367516611744</c:v>
                </c:pt>
                <c:pt idx="602">
                  <c:v>15.655064133948217</c:v>
                </c:pt>
                <c:pt idx="603">
                  <c:v>16.615845911183555</c:v>
                </c:pt>
                <c:pt idx="604">
                  <c:v>19.74205067425715</c:v>
                </c:pt>
                <c:pt idx="605">
                  <c:v>16.034760921442889</c:v>
                </c:pt>
                <c:pt idx="606">
                  <c:v>14.619642019695876</c:v>
                </c:pt>
                <c:pt idx="607">
                  <c:v>#N/A</c:v>
                </c:pt>
                <c:pt idx="608">
                  <c:v>7.447205493656968</c:v>
                </c:pt>
                <c:pt idx="609">
                  <c:v>9.2439841117535515</c:v>
                </c:pt>
                <c:pt idx="610">
                  <c:v>14.896695422541942</c:v>
                </c:pt>
                <c:pt idx="611">
                  <c:v>10.824451987800611</c:v>
                </c:pt>
                <c:pt idx="612">
                  <c:v>18.800611913230362</c:v>
                </c:pt>
                <c:pt idx="613">
                  <c:v>10.675622745477146</c:v>
                </c:pt>
                <c:pt idx="614">
                  <c:v>14.003948592091069</c:v>
                </c:pt>
                <c:pt idx="615">
                  <c:v>11.304760557300391</c:v>
                </c:pt>
                <c:pt idx="616">
                  <c:v>11.969553941884373</c:v>
                </c:pt>
                <c:pt idx="617">
                  <c:v>8.4889211243282805</c:v>
                </c:pt>
                <c:pt idx="618">
                  <c:v>10.86536093489207</c:v>
                </c:pt>
                <c:pt idx="619">
                  <c:v>13.719120410192541</c:v>
                </c:pt>
                <c:pt idx="620">
                  <c:v>7.9484614276480379</c:v>
                </c:pt>
                <c:pt idx="621">
                  <c:v>10.193157879869791</c:v>
                </c:pt>
                <c:pt idx="622">
                  <c:v>10.457012846151256</c:v>
                </c:pt>
                <c:pt idx="623">
                  <c:v>10.122103015205102</c:v>
                </c:pt>
                <c:pt idx="624">
                  <c:v>16.954506404461139</c:v>
                </c:pt>
                <c:pt idx="625">
                  <c:v>16.485687020406253</c:v>
                </c:pt>
                <c:pt idx="626">
                  <c:v>10.942809571501053</c:v>
                </c:pt>
                <c:pt idx="627">
                  <c:v>6.7359292837878737</c:v>
                </c:pt>
                <c:pt idx="628">
                  <c:v>6.7224984275555482</c:v>
                </c:pt>
                <c:pt idx="629">
                  <c:v>14.66079991640285</c:v>
                </c:pt>
                <c:pt idx="630">
                  <c:v>10.50377107856605</c:v>
                </c:pt>
                <c:pt idx="631">
                  <c:v>6.3480331826342482</c:v>
                </c:pt>
                <c:pt idx="632">
                  <c:v>8.6960153932658333</c:v>
                </c:pt>
                <c:pt idx="633">
                  <c:v>7.8556965912222569</c:v>
                </c:pt>
                <c:pt idx="634">
                  <c:v>9.9409659619805772</c:v>
                </c:pt>
                <c:pt idx="635">
                  <c:v>9.1724650004869996</c:v>
                </c:pt>
                <c:pt idx="636">
                  <c:v>8.839506027142928</c:v>
                </c:pt>
                <c:pt idx="637">
                  <c:v>13.045609697305151</c:v>
                </c:pt>
                <c:pt idx="638">
                  <c:v>15.399508233404598</c:v>
                </c:pt>
                <c:pt idx="639">
                  <c:v>7.2977393086357552</c:v>
                </c:pt>
                <c:pt idx="640">
                  <c:v>13.622226936586191</c:v>
                </c:pt>
                <c:pt idx="641">
                  <c:v>14.755873840993925</c:v>
                </c:pt>
                <c:pt idx="642">
                  <c:v>19.313945907495466</c:v>
                </c:pt>
                <c:pt idx="643">
                  <c:v>9.7874777014759573</c:v>
                </c:pt>
                <c:pt idx="644">
                  <c:v>10.103616301072673</c:v>
                </c:pt>
                <c:pt idx="645">
                  <c:v>11.375282097906984</c:v>
                </c:pt>
                <c:pt idx="646">
                  <c:v>10.984462040206033</c:v>
                </c:pt>
                <c:pt idx="647">
                  <c:v>8.8829029962295163</c:v>
                </c:pt>
                <c:pt idx="648">
                  <c:v>14.044418311281477</c:v>
                </c:pt>
                <c:pt idx="649">
                  <c:v>9.5636180217945661</c:v>
                </c:pt>
                <c:pt idx="650">
                  <c:v>11.475789674492225</c:v>
                </c:pt>
                <c:pt idx="651">
                  <c:v>11.853440345352082</c:v>
                </c:pt>
                <c:pt idx="652">
                  <c:v>12.359478037051201</c:v>
                </c:pt>
                <c:pt idx="653">
                  <c:v>12.43850953649007</c:v>
                </c:pt>
                <c:pt idx="654">
                  <c:v>16.374297508981702</c:v>
                </c:pt>
                <c:pt idx="655">
                  <c:v>5.1834754797480951</c:v>
                </c:pt>
                <c:pt idx="656">
                  <c:v>10.185010825224319</c:v>
                </c:pt>
                <c:pt idx="657">
                  <c:v>10.284050477287721</c:v>
                </c:pt>
                <c:pt idx="658">
                  <c:v>10.640930315970778</c:v>
                </c:pt>
                <c:pt idx="659">
                  <c:v>12.653928551329948</c:v>
                </c:pt>
                <c:pt idx="660">
                  <c:v>11.272343817829222</c:v>
                </c:pt>
                <c:pt idx="661">
                  <c:v>9.7746932939952984</c:v>
                </c:pt>
                <c:pt idx="662">
                  <c:v>14.878517370361015</c:v>
                </c:pt>
                <c:pt idx="663">
                  <c:v>13.503307309902304</c:v>
                </c:pt>
                <c:pt idx="664">
                  <c:v>8.4174483472135684</c:v>
                </c:pt>
                <c:pt idx="665">
                  <c:v>7.1326263646313208</c:v>
                </c:pt>
                <c:pt idx="666">
                  <c:v>4.60331433392113</c:v>
                </c:pt>
                <c:pt idx="667">
                  <c:v>9.5319099441927762</c:v>
                </c:pt>
                <c:pt idx="668">
                  <c:v>12.420477810697379</c:v>
                </c:pt>
                <c:pt idx="669">
                  <c:v>15.825128018001839</c:v>
                </c:pt>
                <c:pt idx="670">
                  <c:v>12.909276056007757</c:v>
                </c:pt>
                <c:pt idx="671">
                  <c:v>12.633656488808899</c:v>
                </c:pt>
                <c:pt idx="672">
                  <c:v>14.450210763779328</c:v>
                </c:pt>
                <c:pt idx="673">
                  <c:v>11.131420299185708</c:v>
                </c:pt>
                <c:pt idx="674">
                  <c:v>10.557738997477767</c:v>
                </c:pt>
                <c:pt idx="675">
                  <c:v>9.3825390841186103</c:v>
                </c:pt>
                <c:pt idx="676">
                  <c:v>15.119885700053743</c:v>
                </c:pt>
                <c:pt idx="677">
                  <c:v>10.218838244781129</c:v>
                </c:pt>
                <c:pt idx="678">
                  <c:v>19.103386815033502</c:v>
                </c:pt>
                <c:pt idx="679">
                  <c:v>23.599083986482228</c:v>
                </c:pt>
                <c:pt idx="680">
                  <c:v>4.8818067317034295</c:v>
                </c:pt>
                <c:pt idx="681">
                  <c:v>19.292071998188646</c:v>
                </c:pt>
                <c:pt idx="682">
                  <c:v>31.666977107127153</c:v>
                </c:pt>
                <c:pt idx="683">
                  <c:v>8.2880448748406597</c:v>
                </c:pt>
                <c:pt idx="684">
                  <c:v>13.23313465594882</c:v>
                </c:pt>
              </c:numCache>
            </c:numRef>
          </c:yVal>
          <c:smooth val="0"/>
          <c:extLst>
            <c:ext xmlns:c16="http://schemas.microsoft.com/office/drawing/2014/chart" uri="{C3380CC4-5D6E-409C-BE32-E72D297353CC}">
              <c16:uniqueId val="{00000000-71D9-47E3-B4B7-AFA04EDE46BA}"/>
            </c:ext>
          </c:extLst>
        </c:ser>
        <c:ser>
          <c:idx val="1"/>
          <c:order val="1"/>
          <c:tx>
            <c:v>Limit</c:v>
          </c:tx>
          <c:spPr>
            <a:ln w="38100" cap="rnd">
              <a:solidFill>
                <a:srgbClr val="FF0000"/>
              </a:solidFill>
              <a:prstDash val="dash"/>
              <a:round/>
            </a:ln>
            <a:effectLst/>
          </c:spPr>
          <c:marker>
            <c:symbol val="none"/>
          </c:marker>
          <c:xVal>
            <c:numRef>
              <c:f>Limits!$B$3:$B$4</c:f>
              <c:numCache>
                <c:formatCode>General</c:formatCode>
                <c:ptCount val="2"/>
                <c:pt idx="0">
                  <c:v>0.105</c:v>
                </c:pt>
                <c:pt idx="1">
                  <c:v>220</c:v>
                </c:pt>
              </c:numCache>
            </c:numRef>
          </c:xVal>
          <c:yVal>
            <c:numRef>
              <c:f>Limits!$C$3:$C$4</c:f>
              <c:numCache>
                <c:formatCode>General</c:formatCode>
                <c:ptCount val="2"/>
                <c:pt idx="0">
                  <c:v>-3.9794000867203758</c:v>
                </c:pt>
                <c:pt idx="1">
                  <c:v>-3.9794000867203758</c:v>
                </c:pt>
              </c:numCache>
            </c:numRef>
          </c:yVal>
          <c:smooth val="0"/>
          <c:extLst>
            <c:ext xmlns:c16="http://schemas.microsoft.com/office/drawing/2014/chart" uri="{C3380CC4-5D6E-409C-BE32-E72D297353CC}">
              <c16:uniqueId val="{00000002-71D9-47E3-B4B7-AFA04EDE46BA}"/>
            </c:ext>
          </c:extLst>
        </c:ser>
        <c:dLbls>
          <c:showLegendKey val="0"/>
          <c:showVal val="0"/>
          <c:showCatName val="0"/>
          <c:showSerName val="0"/>
          <c:showPercent val="0"/>
          <c:showBubbleSize val="0"/>
        </c:dLbls>
        <c:axId val="393378656"/>
        <c:axId val="383363768"/>
      </c:scatterChart>
      <c:valAx>
        <c:axId val="393378656"/>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Frequency, GHz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363768"/>
        <c:crossesAt val="0"/>
        <c:crossBetween val="midCat"/>
      </c:valAx>
      <c:valAx>
        <c:axId val="383363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FOM_N (dB)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3378656"/>
        <c:crossesAt val="0.1"/>
        <c:crossBetween val="midCat"/>
      </c:valAx>
      <c:spPr>
        <a:noFill/>
        <a:ln>
          <a:noFill/>
        </a:ln>
        <a:effectLst/>
      </c:spPr>
    </c:plotArea>
    <c:legend>
      <c:legendPos val="r"/>
      <c:layout>
        <c:manualLayout>
          <c:xMode val="edge"/>
          <c:yMode val="edge"/>
          <c:x val="0.69390804724970334"/>
          <c:y val="4.8195037893613124E-2"/>
          <c:w val="0.12738772105623497"/>
          <c:h val="6.8111729627763365E-2"/>
        </c:manualLayout>
      </c:layout>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90117312280968E-2"/>
          <c:y val="2.2199223170204795E-2"/>
          <c:w val="0.86814075166962867"/>
          <c:h val="0.92491609345157877"/>
        </c:manualLayout>
      </c:layout>
      <c:scatterChart>
        <c:scatterStyle val="lineMarker"/>
        <c:varyColors val="0"/>
        <c:ser>
          <c:idx val="0"/>
          <c:order val="0"/>
          <c:tx>
            <c:strRef>
              <c:f>CMOS!$U$1</c:f>
              <c:strCache>
                <c:ptCount val="1"/>
                <c:pt idx="0">
                  <c:v>FOM_S</c:v>
                </c:pt>
              </c:strCache>
            </c:strRef>
          </c:tx>
          <c:spPr>
            <a:ln w="25400" cap="rnd">
              <a:noFill/>
              <a:round/>
            </a:ln>
            <a:effectLst/>
          </c:spPr>
          <c:marker>
            <c:symbol val="circle"/>
            <c:size val="5"/>
            <c:spPr>
              <a:solidFill>
                <a:schemeClr val="accent1"/>
              </a:solidFill>
              <a:ln w="9525">
                <a:solidFill>
                  <a:schemeClr val="accent1"/>
                </a:solidFill>
              </a:ln>
              <a:effectLst/>
            </c:spPr>
          </c:marker>
          <c:xVal>
            <c:numRef>
              <c:f>CMOS!$F$2:$F$1635</c:f>
              <c:numCache>
                <c:formatCode>General</c:formatCode>
                <c:ptCount val="1634"/>
                <c:pt idx="1">
                  <c:v>0.03</c:v>
                </c:pt>
                <c:pt idx="5">
                  <c:v>0.5</c:v>
                </c:pt>
                <c:pt idx="6">
                  <c:v>0.5</c:v>
                </c:pt>
                <c:pt idx="8">
                  <c:v>0.1</c:v>
                </c:pt>
                <c:pt idx="10">
                  <c:v>0.67500000000000004</c:v>
                </c:pt>
                <c:pt idx="11">
                  <c:v>0.67500000000000004</c:v>
                </c:pt>
                <c:pt idx="12">
                  <c:v>1.5</c:v>
                </c:pt>
                <c:pt idx="14">
                  <c:v>1</c:v>
                </c:pt>
                <c:pt idx="15">
                  <c:v>7.6</c:v>
                </c:pt>
                <c:pt idx="16">
                  <c:v>0.8</c:v>
                </c:pt>
                <c:pt idx="17">
                  <c:v>0.5</c:v>
                </c:pt>
                <c:pt idx="18">
                  <c:v>4.5</c:v>
                </c:pt>
                <c:pt idx="19">
                  <c:v>2</c:v>
                </c:pt>
                <c:pt idx="20">
                  <c:v>8.8000000000000007</c:v>
                </c:pt>
                <c:pt idx="21">
                  <c:v>3</c:v>
                </c:pt>
                <c:pt idx="22">
                  <c:v>0.5</c:v>
                </c:pt>
                <c:pt idx="23">
                  <c:v>0.3</c:v>
                </c:pt>
                <c:pt idx="24">
                  <c:v>3</c:v>
                </c:pt>
                <c:pt idx="25">
                  <c:v>7</c:v>
                </c:pt>
                <c:pt idx="26">
                  <c:v>0.5</c:v>
                </c:pt>
                <c:pt idx="27">
                  <c:v>0.5</c:v>
                </c:pt>
                <c:pt idx="28">
                  <c:v>0.5</c:v>
                </c:pt>
                <c:pt idx="29">
                  <c:v>4</c:v>
                </c:pt>
                <c:pt idx="30">
                  <c:v>7</c:v>
                </c:pt>
                <c:pt idx="31">
                  <c:v>3.5</c:v>
                </c:pt>
                <c:pt idx="32">
                  <c:v>0.95199999999999996</c:v>
                </c:pt>
                <c:pt idx="33">
                  <c:v>4.75</c:v>
                </c:pt>
                <c:pt idx="34">
                  <c:v>8</c:v>
                </c:pt>
                <c:pt idx="35">
                  <c:v>0.5</c:v>
                </c:pt>
                <c:pt idx="36">
                  <c:v>2</c:v>
                </c:pt>
                <c:pt idx="37">
                  <c:v>1.8</c:v>
                </c:pt>
                <c:pt idx="38">
                  <c:v>4.2</c:v>
                </c:pt>
                <c:pt idx="39">
                  <c:v>8.75</c:v>
                </c:pt>
                <c:pt idx="40">
                  <c:v>8.5</c:v>
                </c:pt>
                <c:pt idx="41">
                  <c:v>0.28000000000000003</c:v>
                </c:pt>
                <c:pt idx="42">
                  <c:v>7.5</c:v>
                </c:pt>
                <c:pt idx="43">
                  <c:v>26.4</c:v>
                </c:pt>
                <c:pt idx="44">
                  <c:v>7.5</c:v>
                </c:pt>
                <c:pt idx="45">
                  <c:v>2</c:v>
                </c:pt>
                <c:pt idx="46">
                  <c:v>8</c:v>
                </c:pt>
                <c:pt idx="47">
                  <c:v>7.4999999999999997E-2</c:v>
                </c:pt>
                <c:pt idx="48">
                  <c:v>0.65</c:v>
                </c:pt>
                <c:pt idx="49">
                  <c:v>0.8</c:v>
                </c:pt>
                <c:pt idx="50">
                  <c:v>0.8</c:v>
                </c:pt>
                <c:pt idx="51">
                  <c:v>0.8</c:v>
                </c:pt>
                <c:pt idx="52">
                  <c:v>0.8</c:v>
                </c:pt>
                <c:pt idx="53">
                  <c:v>7.6</c:v>
                </c:pt>
                <c:pt idx="54">
                  <c:v>0.9</c:v>
                </c:pt>
                <c:pt idx="55">
                  <c:v>5.0000000000000001E-3</c:v>
                </c:pt>
                <c:pt idx="56">
                  <c:v>7.2</c:v>
                </c:pt>
                <c:pt idx="57">
                  <c:v>15</c:v>
                </c:pt>
                <c:pt idx="58">
                  <c:v>9.6</c:v>
                </c:pt>
                <c:pt idx="59">
                  <c:v>1.67</c:v>
                </c:pt>
                <c:pt idx="60">
                  <c:v>1</c:v>
                </c:pt>
                <c:pt idx="61">
                  <c:v>0.9</c:v>
                </c:pt>
                <c:pt idx="62">
                  <c:v>1</c:v>
                </c:pt>
                <c:pt idx="63">
                  <c:v>22</c:v>
                </c:pt>
                <c:pt idx="64">
                  <c:v>12</c:v>
                </c:pt>
                <c:pt idx="65">
                  <c:v>10</c:v>
                </c:pt>
                <c:pt idx="66">
                  <c:v>9.5</c:v>
                </c:pt>
                <c:pt idx="67">
                  <c:v>10.5</c:v>
                </c:pt>
                <c:pt idx="68">
                  <c:v>6</c:v>
                </c:pt>
                <c:pt idx="69">
                  <c:v>0.68</c:v>
                </c:pt>
                <c:pt idx="70">
                  <c:v>5</c:v>
                </c:pt>
                <c:pt idx="71">
                  <c:v>15</c:v>
                </c:pt>
                <c:pt idx="72">
                  <c:v>1.9</c:v>
                </c:pt>
                <c:pt idx="73">
                  <c:v>0.62</c:v>
                </c:pt>
                <c:pt idx="74">
                  <c:v>17</c:v>
                </c:pt>
                <c:pt idx="75">
                  <c:v>7.5</c:v>
                </c:pt>
                <c:pt idx="76">
                  <c:v>15</c:v>
                </c:pt>
                <c:pt idx="77">
                  <c:v>3</c:v>
                </c:pt>
                <c:pt idx="78">
                  <c:v>7.5</c:v>
                </c:pt>
                <c:pt idx="79">
                  <c:v>0.7</c:v>
                </c:pt>
                <c:pt idx="80">
                  <c:v>2.8</c:v>
                </c:pt>
                <c:pt idx="81">
                  <c:v>3.3</c:v>
                </c:pt>
                <c:pt idx="82">
                  <c:v>0.1</c:v>
                </c:pt>
                <c:pt idx="83">
                  <c:v>3.1</c:v>
                </c:pt>
                <c:pt idx="84">
                  <c:v>3.8</c:v>
                </c:pt>
                <c:pt idx="86">
                  <c:v>1.1000000000000001</c:v>
                </c:pt>
                <c:pt idx="87">
                  <c:v>1.1000000000000001</c:v>
                </c:pt>
                <c:pt idx="88">
                  <c:v>4</c:v>
                </c:pt>
                <c:pt idx="89">
                  <c:v>0.5</c:v>
                </c:pt>
                <c:pt idx="90">
                  <c:v>7</c:v>
                </c:pt>
                <c:pt idx="91">
                  <c:v>10</c:v>
                </c:pt>
                <c:pt idx="92">
                  <c:v>0.95</c:v>
                </c:pt>
                <c:pt idx="93">
                  <c:v>30</c:v>
                </c:pt>
                <c:pt idx="94">
                  <c:v>0.55000000000000004</c:v>
                </c:pt>
                <c:pt idx="95">
                  <c:v>2.5</c:v>
                </c:pt>
                <c:pt idx="96">
                  <c:v>0.375</c:v>
                </c:pt>
                <c:pt idx="97">
                  <c:v>18</c:v>
                </c:pt>
                <c:pt idx="98">
                  <c:v>28</c:v>
                </c:pt>
                <c:pt idx="99">
                  <c:v>2.1</c:v>
                </c:pt>
                <c:pt idx="100">
                  <c:v>5</c:v>
                </c:pt>
                <c:pt idx="101">
                  <c:v>7.8</c:v>
                </c:pt>
                <c:pt idx="102">
                  <c:v>2.95</c:v>
                </c:pt>
                <c:pt idx="103">
                  <c:v>10.5</c:v>
                </c:pt>
                <c:pt idx="106">
                  <c:v>23</c:v>
                </c:pt>
                <c:pt idx="107">
                  <c:v>11.6</c:v>
                </c:pt>
                <c:pt idx="108">
                  <c:v>8</c:v>
                </c:pt>
                <c:pt idx="109">
                  <c:v>66</c:v>
                </c:pt>
                <c:pt idx="110">
                  <c:v>5.25</c:v>
                </c:pt>
                <c:pt idx="111">
                  <c:v>9</c:v>
                </c:pt>
                <c:pt idx="112">
                  <c:v>10</c:v>
                </c:pt>
                <c:pt idx="113">
                  <c:v>9</c:v>
                </c:pt>
                <c:pt idx="114">
                  <c:v>2.5</c:v>
                </c:pt>
                <c:pt idx="115">
                  <c:v>6</c:v>
                </c:pt>
                <c:pt idx="116">
                  <c:v>4.0999999999999996</c:v>
                </c:pt>
                <c:pt idx="117">
                  <c:v>8.64</c:v>
                </c:pt>
                <c:pt idx="118">
                  <c:v>12</c:v>
                </c:pt>
                <c:pt idx="119">
                  <c:v>12</c:v>
                </c:pt>
                <c:pt idx="120">
                  <c:v>31</c:v>
                </c:pt>
                <c:pt idx="121">
                  <c:v>19</c:v>
                </c:pt>
                <c:pt idx="122">
                  <c:v>24</c:v>
                </c:pt>
                <c:pt idx="123">
                  <c:v>12</c:v>
                </c:pt>
                <c:pt idx="124">
                  <c:v>7.9</c:v>
                </c:pt>
                <c:pt idx="125">
                  <c:v>7.9</c:v>
                </c:pt>
                <c:pt idx="126">
                  <c:v>7.9</c:v>
                </c:pt>
                <c:pt idx="127">
                  <c:v>8.5</c:v>
                </c:pt>
                <c:pt idx="128">
                  <c:v>20</c:v>
                </c:pt>
                <c:pt idx="129">
                  <c:v>31</c:v>
                </c:pt>
                <c:pt idx="130">
                  <c:v>11.6</c:v>
                </c:pt>
                <c:pt idx="131">
                  <c:v>11.2</c:v>
                </c:pt>
                <c:pt idx="132">
                  <c:v>9.6</c:v>
                </c:pt>
                <c:pt idx="133">
                  <c:v>9</c:v>
                </c:pt>
                <c:pt idx="134">
                  <c:v>5.0999999999999996</c:v>
                </c:pt>
                <c:pt idx="135">
                  <c:v>3.95</c:v>
                </c:pt>
                <c:pt idx="136">
                  <c:v>5.5</c:v>
                </c:pt>
                <c:pt idx="137">
                  <c:v>6.8</c:v>
                </c:pt>
                <c:pt idx="138">
                  <c:v>10</c:v>
                </c:pt>
                <c:pt idx="139">
                  <c:v>11</c:v>
                </c:pt>
                <c:pt idx="140">
                  <c:v>22.1</c:v>
                </c:pt>
                <c:pt idx="141">
                  <c:v>0.3</c:v>
                </c:pt>
                <c:pt idx="142">
                  <c:v>0.4</c:v>
                </c:pt>
                <c:pt idx="143">
                  <c:v>20.100000000000001</c:v>
                </c:pt>
                <c:pt idx="144">
                  <c:v>3.5</c:v>
                </c:pt>
                <c:pt idx="145">
                  <c:v>2.58</c:v>
                </c:pt>
                <c:pt idx="146">
                  <c:v>0.01</c:v>
                </c:pt>
                <c:pt idx="147">
                  <c:v>0.01</c:v>
                </c:pt>
                <c:pt idx="148">
                  <c:v>0.02</c:v>
                </c:pt>
                <c:pt idx="149">
                  <c:v>0.02</c:v>
                </c:pt>
                <c:pt idx="150">
                  <c:v>0.01</c:v>
                </c:pt>
                <c:pt idx="151">
                  <c:v>3.4</c:v>
                </c:pt>
                <c:pt idx="152">
                  <c:v>0.5</c:v>
                </c:pt>
                <c:pt idx="153">
                  <c:v>15</c:v>
                </c:pt>
                <c:pt idx="154">
                  <c:v>1.5</c:v>
                </c:pt>
                <c:pt idx="155">
                  <c:v>6.6</c:v>
                </c:pt>
                <c:pt idx="156">
                  <c:v>10.8</c:v>
                </c:pt>
                <c:pt idx="157">
                  <c:v>11.8</c:v>
                </c:pt>
                <c:pt idx="158">
                  <c:v>24</c:v>
                </c:pt>
                <c:pt idx="159">
                  <c:v>6</c:v>
                </c:pt>
                <c:pt idx="160">
                  <c:v>20</c:v>
                </c:pt>
                <c:pt idx="161">
                  <c:v>25.6</c:v>
                </c:pt>
                <c:pt idx="162">
                  <c:v>32.700000000000003</c:v>
                </c:pt>
                <c:pt idx="163">
                  <c:v>7.2</c:v>
                </c:pt>
                <c:pt idx="164">
                  <c:v>10.8</c:v>
                </c:pt>
                <c:pt idx="165">
                  <c:v>6</c:v>
                </c:pt>
                <c:pt idx="166">
                  <c:v>10</c:v>
                </c:pt>
                <c:pt idx="167">
                  <c:v>7.6</c:v>
                </c:pt>
                <c:pt idx="168">
                  <c:v>8.6</c:v>
                </c:pt>
                <c:pt idx="169">
                  <c:v>8</c:v>
                </c:pt>
                <c:pt idx="170">
                  <c:v>6</c:v>
                </c:pt>
                <c:pt idx="171">
                  <c:v>2.8</c:v>
                </c:pt>
                <c:pt idx="172">
                  <c:v>2.8</c:v>
                </c:pt>
                <c:pt idx="173">
                  <c:v>1.6</c:v>
                </c:pt>
                <c:pt idx="174">
                  <c:v>1.6</c:v>
                </c:pt>
                <c:pt idx="175">
                  <c:v>16.5</c:v>
                </c:pt>
                <c:pt idx="176">
                  <c:v>20</c:v>
                </c:pt>
                <c:pt idx="177">
                  <c:v>16.100000000000001</c:v>
                </c:pt>
                <c:pt idx="178">
                  <c:v>10</c:v>
                </c:pt>
                <c:pt idx="179">
                  <c:v>4.2</c:v>
                </c:pt>
                <c:pt idx="180">
                  <c:v>2</c:v>
                </c:pt>
                <c:pt idx="181">
                  <c:v>33.700000000000003</c:v>
                </c:pt>
                <c:pt idx="182">
                  <c:v>1.35</c:v>
                </c:pt>
                <c:pt idx="183">
                  <c:v>43.5</c:v>
                </c:pt>
                <c:pt idx="184">
                  <c:v>26.4</c:v>
                </c:pt>
                <c:pt idx="185">
                  <c:v>75</c:v>
                </c:pt>
                <c:pt idx="186">
                  <c:v>8.5</c:v>
                </c:pt>
                <c:pt idx="187">
                  <c:v>12.5</c:v>
                </c:pt>
                <c:pt idx="188">
                  <c:v>12</c:v>
                </c:pt>
                <c:pt idx="190">
                  <c:v>1.5</c:v>
                </c:pt>
                <c:pt idx="192">
                  <c:v>0.2</c:v>
                </c:pt>
                <c:pt idx="193">
                  <c:v>0.55000000000000004</c:v>
                </c:pt>
                <c:pt idx="194">
                  <c:v>0.7</c:v>
                </c:pt>
                <c:pt idx="195">
                  <c:v>0.85</c:v>
                </c:pt>
                <c:pt idx="198">
                  <c:v>0.04</c:v>
                </c:pt>
                <c:pt idx="199">
                  <c:v>0.13</c:v>
                </c:pt>
                <c:pt idx="200">
                  <c:v>0.75</c:v>
                </c:pt>
                <c:pt idx="201">
                  <c:v>4</c:v>
                </c:pt>
                <c:pt idx="204">
                  <c:v>0.15</c:v>
                </c:pt>
                <c:pt idx="205">
                  <c:v>0.77</c:v>
                </c:pt>
                <c:pt idx="206">
                  <c:v>0.2</c:v>
                </c:pt>
                <c:pt idx="208">
                  <c:v>1.5980000000000001</c:v>
                </c:pt>
                <c:pt idx="209">
                  <c:v>16</c:v>
                </c:pt>
                <c:pt idx="210">
                  <c:v>6.9</c:v>
                </c:pt>
                <c:pt idx="211">
                  <c:v>7.1</c:v>
                </c:pt>
                <c:pt idx="212">
                  <c:v>2.6</c:v>
                </c:pt>
                <c:pt idx="213">
                  <c:v>1.35</c:v>
                </c:pt>
                <c:pt idx="214">
                  <c:v>1.38</c:v>
                </c:pt>
                <c:pt idx="215">
                  <c:v>3</c:v>
                </c:pt>
                <c:pt idx="216">
                  <c:v>7.0000000000000007E-2</c:v>
                </c:pt>
                <c:pt idx="217">
                  <c:v>6.96</c:v>
                </c:pt>
                <c:pt idx="218">
                  <c:v>0.01</c:v>
                </c:pt>
                <c:pt idx="219">
                  <c:v>0.83</c:v>
                </c:pt>
                <c:pt idx="220">
                  <c:v>10.7</c:v>
                </c:pt>
                <c:pt idx="221">
                  <c:v>7.5</c:v>
                </c:pt>
                <c:pt idx="222">
                  <c:v>7.5</c:v>
                </c:pt>
                <c:pt idx="223">
                  <c:v>3.5</c:v>
                </c:pt>
                <c:pt idx="224">
                  <c:v>8</c:v>
                </c:pt>
                <c:pt idx="225">
                  <c:v>0.6</c:v>
                </c:pt>
                <c:pt idx="226">
                  <c:v>0.9</c:v>
                </c:pt>
                <c:pt idx="227">
                  <c:v>1.3009999999999999</c:v>
                </c:pt>
                <c:pt idx="229">
                  <c:v>0.25</c:v>
                </c:pt>
                <c:pt idx="230">
                  <c:v>3</c:v>
                </c:pt>
                <c:pt idx="231">
                  <c:v>1.3</c:v>
                </c:pt>
                <c:pt idx="232">
                  <c:v>0.1</c:v>
                </c:pt>
                <c:pt idx="234">
                  <c:v>5</c:v>
                </c:pt>
                <c:pt idx="235">
                  <c:v>6</c:v>
                </c:pt>
                <c:pt idx="236">
                  <c:v>20</c:v>
                </c:pt>
                <c:pt idx="237">
                  <c:v>6.5</c:v>
                </c:pt>
                <c:pt idx="238">
                  <c:v>6.5</c:v>
                </c:pt>
                <c:pt idx="242">
                  <c:v>1.4</c:v>
                </c:pt>
                <c:pt idx="243">
                  <c:v>8</c:v>
                </c:pt>
                <c:pt idx="244">
                  <c:v>7.6</c:v>
                </c:pt>
                <c:pt idx="245">
                  <c:v>6.6</c:v>
                </c:pt>
                <c:pt idx="246">
                  <c:v>0.13</c:v>
                </c:pt>
                <c:pt idx="247">
                  <c:v>4.4999999999999998E-2</c:v>
                </c:pt>
                <c:pt idx="248">
                  <c:v>0.55200000000000005</c:v>
                </c:pt>
                <c:pt idx="250">
                  <c:v>0.5</c:v>
                </c:pt>
                <c:pt idx="251">
                  <c:v>9</c:v>
                </c:pt>
                <c:pt idx="252">
                  <c:v>1.1599999999999999</c:v>
                </c:pt>
                <c:pt idx="253">
                  <c:v>10.4</c:v>
                </c:pt>
                <c:pt idx="254">
                  <c:v>10</c:v>
                </c:pt>
                <c:pt idx="255">
                  <c:v>6</c:v>
                </c:pt>
                <c:pt idx="256">
                  <c:v>2.298</c:v>
                </c:pt>
                <c:pt idx="257">
                  <c:v>0.12</c:v>
                </c:pt>
                <c:pt idx="258">
                  <c:v>10</c:v>
                </c:pt>
                <c:pt idx="259">
                  <c:v>9</c:v>
                </c:pt>
                <c:pt idx="260">
                  <c:v>1.8</c:v>
                </c:pt>
                <c:pt idx="261">
                  <c:v>0.19</c:v>
                </c:pt>
                <c:pt idx="262">
                  <c:v>2.6</c:v>
                </c:pt>
                <c:pt idx="263">
                  <c:v>9.9</c:v>
                </c:pt>
                <c:pt idx="264">
                  <c:v>0.25</c:v>
                </c:pt>
                <c:pt idx="265">
                  <c:v>0.3</c:v>
                </c:pt>
                <c:pt idx="266">
                  <c:v>12</c:v>
                </c:pt>
                <c:pt idx="267">
                  <c:v>0.2</c:v>
                </c:pt>
                <c:pt idx="268">
                  <c:v>2</c:v>
                </c:pt>
                <c:pt idx="269">
                  <c:v>2</c:v>
                </c:pt>
                <c:pt idx="270">
                  <c:v>1.4</c:v>
                </c:pt>
                <c:pt idx="271">
                  <c:v>3.6</c:v>
                </c:pt>
                <c:pt idx="272">
                  <c:v>2.5</c:v>
                </c:pt>
                <c:pt idx="273">
                  <c:v>11.7</c:v>
                </c:pt>
                <c:pt idx="274">
                  <c:v>10</c:v>
                </c:pt>
                <c:pt idx="275">
                  <c:v>30</c:v>
                </c:pt>
                <c:pt idx="276">
                  <c:v>27.5</c:v>
                </c:pt>
                <c:pt idx="277">
                  <c:v>1.9</c:v>
                </c:pt>
                <c:pt idx="278">
                  <c:v>28.3</c:v>
                </c:pt>
                <c:pt idx="279">
                  <c:v>2</c:v>
                </c:pt>
                <c:pt idx="280">
                  <c:v>17.5</c:v>
                </c:pt>
                <c:pt idx="281">
                  <c:v>0.2</c:v>
                </c:pt>
                <c:pt idx="282">
                  <c:v>2.1</c:v>
                </c:pt>
                <c:pt idx="283">
                  <c:v>10</c:v>
                </c:pt>
                <c:pt idx="284">
                  <c:v>10</c:v>
                </c:pt>
                <c:pt idx="285">
                  <c:v>0.2</c:v>
                </c:pt>
                <c:pt idx="286">
                  <c:v>5.6000000000000014</c:v>
                </c:pt>
                <c:pt idx="287">
                  <c:v>15</c:v>
                </c:pt>
                <c:pt idx="288">
                  <c:v>5.5</c:v>
                </c:pt>
                <c:pt idx="289">
                  <c:v>4.4800000000000004</c:v>
                </c:pt>
                <c:pt idx="290">
                  <c:v>40</c:v>
                </c:pt>
                <c:pt idx="291">
                  <c:v>4</c:v>
                </c:pt>
                <c:pt idx="292">
                  <c:v>15.3</c:v>
                </c:pt>
                <c:pt idx="293">
                  <c:v>33</c:v>
                </c:pt>
                <c:pt idx="294">
                  <c:v>22.1</c:v>
                </c:pt>
                <c:pt idx="295">
                  <c:v>16</c:v>
                </c:pt>
                <c:pt idx="296">
                  <c:v>9.6999999999999993</c:v>
                </c:pt>
                <c:pt idx="297">
                  <c:v>7</c:v>
                </c:pt>
                <c:pt idx="298">
                  <c:v>20</c:v>
                </c:pt>
                <c:pt idx="299">
                  <c:v>1.4</c:v>
                </c:pt>
                <c:pt idx="300">
                  <c:v>4.0999999999999996</c:v>
                </c:pt>
                <c:pt idx="301">
                  <c:v>4.7</c:v>
                </c:pt>
                <c:pt idx="302">
                  <c:v>6.5</c:v>
                </c:pt>
                <c:pt idx="303">
                  <c:v>10.199999999999999</c:v>
                </c:pt>
                <c:pt idx="304">
                  <c:v>4.5</c:v>
                </c:pt>
                <c:pt idx="305">
                  <c:v>4.5999999999999996</c:v>
                </c:pt>
                <c:pt idx="306">
                  <c:v>6.5</c:v>
                </c:pt>
                <c:pt idx="307">
                  <c:v>11.5</c:v>
                </c:pt>
                <c:pt idx="308">
                  <c:v>11.9</c:v>
                </c:pt>
                <c:pt idx="309">
                  <c:v>11.6</c:v>
                </c:pt>
                <c:pt idx="310">
                  <c:v>21</c:v>
                </c:pt>
                <c:pt idx="311">
                  <c:v>20</c:v>
                </c:pt>
                <c:pt idx="318">
                  <c:v>1.5</c:v>
                </c:pt>
                <c:pt idx="319">
                  <c:v>1.5</c:v>
                </c:pt>
                <c:pt idx="323">
                  <c:v>0.4</c:v>
                </c:pt>
                <c:pt idx="324">
                  <c:v>6.9</c:v>
                </c:pt>
                <c:pt idx="325">
                  <c:v>7.1</c:v>
                </c:pt>
                <c:pt idx="326">
                  <c:v>1</c:v>
                </c:pt>
                <c:pt idx="327">
                  <c:v>2</c:v>
                </c:pt>
                <c:pt idx="328">
                  <c:v>7.7</c:v>
                </c:pt>
                <c:pt idx="329">
                  <c:v>3</c:v>
                </c:pt>
                <c:pt idx="330">
                  <c:v>2.5</c:v>
                </c:pt>
                <c:pt idx="331">
                  <c:v>7</c:v>
                </c:pt>
                <c:pt idx="332">
                  <c:v>6</c:v>
                </c:pt>
                <c:pt idx="333">
                  <c:v>6</c:v>
                </c:pt>
                <c:pt idx="334">
                  <c:v>6</c:v>
                </c:pt>
                <c:pt idx="335">
                  <c:v>14</c:v>
                </c:pt>
                <c:pt idx="336">
                  <c:v>1.48</c:v>
                </c:pt>
                <c:pt idx="337">
                  <c:v>7.7</c:v>
                </c:pt>
                <c:pt idx="338">
                  <c:v>0.62</c:v>
                </c:pt>
                <c:pt idx="339">
                  <c:v>1.25</c:v>
                </c:pt>
                <c:pt idx="340">
                  <c:v>15</c:v>
                </c:pt>
                <c:pt idx="341">
                  <c:v>0.82199999999999995</c:v>
                </c:pt>
                <c:pt idx="342">
                  <c:v>28.3</c:v>
                </c:pt>
                <c:pt idx="343">
                  <c:v>30</c:v>
                </c:pt>
                <c:pt idx="345">
                  <c:v>15</c:v>
                </c:pt>
                <c:pt idx="346">
                  <c:v>2.75</c:v>
                </c:pt>
                <c:pt idx="347">
                  <c:v>11</c:v>
                </c:pt>
                <c:pt idx="348">
                  <c:v>16</c:v>
                </c:pt>
                <c:pt idx="349">
                  <c:v>8.4</c:v>
                </c:pt>
                <c:pt idx="352">
                  <c:v>6</c:v>
                </c:pt>
                <c:pt idx="354">
                  <c:v>1.6</c:v>
                </c:pt>
                <c:pt idx="355">
                  <c:v>2.2000000000000002</c:v>
                </c:pt>
                <c:pt idx="356">
                  <c:v>10</c:v>
                </c:pt>
                <c:pt idx="357">
                  <c:v>4.2</c:v>
                </c:pt>
                <c:pt idx="358">
                  <c:v>10.8</c:v>
                </c:pt>
                <c:pt idx="359">
                  <c:v>3</c:v>
                </c:pt>
                <c:pt idx="360">
                  <c:v>10.8</c:v>
                </c:pt>
                <c:pt idx="361">
                  <c:v>6.8</c:v>
                </c:pt>
                <c:pt idx="362">
                  <c:v>5.0999999999999996</c:v>
                </c:pt>
                <c:pt idx="363">
                  <c:v>22</c:v>
                </c:pt>
                <c:pt idx="365">
                  <c:v>2.1</c:v>
                </c:pt>
                <c:pt idx="366">
                  <c:v>0.81200000000000006</c:v>
                </c:pt>
                <c:pt idx="367">
                  <c:v>3.7</c:v>
                </c:pt>
                <c:pt idx="368">
                  <c:v>3.3</c:v>
                </c:pt>
                <c:pt idx="369">
                  <c:v>1.9</c:v>
                </c:pt>
                <c:pt idx="370">
                  <c:v>21</c:v>
                </c:pt>
                <c:pt idx="371">
                  <c:v>1.0980000000000001</c:v>
                </c:pt>
                <c:pt idx="372">
                  <c:v>4</c:v>
                </c:pt>
                <c:pt idx="373">
                  <c:v>5</c:v>
                </c:pt>
                <c:pt idx="374">
                  <c:v>0.1</c:v>
                </c:pt>
                <c:pt idx="375">
                  <c:v>0.3</c:v>
                </c:pt>
                <c:pt idx="376">
                  <c:v>0.35</c:v>
                </c:pt>
                <c:pt idx="377">
                  <c:v>0.7</c:v>
                </c:pt>
                <c:pt idx="378">
                  <c:v>0.25</c:v>
                </c:pt>
                <c:pt idx="379">
                  <c:v>0.25</c:v>
                </c:pt>
                <c:pt idx="380">
                  <c:v>0.25</c:v>
                </c:pt>
                <c:pt idx="381">
                  <c:v>0.25</c:v>
                </c:pt>
                <c:pt idx="382">
                  <c:v>2.6</c:v>
                </c:pt>
                <c:pt idx="383">
                  <c:v>7</c:v>
                </c:pt>
                <c:pt idx="384">
                  <c:v>14.1</c:v>
                </c:pt>
                <c:pt idx="385">
                  <c:v>12.2</c:v>
                </c:pt>
                <c:pt idx="386">
                  <c:v>5.4</c:v>
                </c:pt>
                <c:pt idx="387">
                  <c:v>2.1960000000000002</c:v>
                </c:pt>
                <c:pt idx="388">
                  <c:v>0.2</c:v>
                </c:pt>
                <c:pt idx="389">
                  <c:v>9</c:v>
                </c:pt>
                <c:pt idx="390">
                  <c:v>0.7</c:v>
                </c:pt>
                <c:pt idx="391">
                  <c:v>2.8</c:v>
                </c:pt>
                <c:pt idx="392">
                  <c:v>3.3</c:v>
                </c:pt>
                <c:pt idx="393">
                  <c:v>0.1</c:v>
                </c:pt>
                <c:pt idx="394">
                  <c:v>3.1</c:v>
                </c:pt>
                <c:pt idx="395">
                  <c:v>6.5</c:v>
                </c:pt>
                <c:pt idx="396">
                  <c:v>1.1000000000000001</c:v>
                </c:pt>
                <c:pt idx="397">
                  <c:v>1.1000000000000001</c:v>
                </c:pt>
                <c:pt idx="398">
                  <c:v>1.1000000000000001</c:v>
                </c:pt>
                <c:pt idx="399">
                  <c:v>1.1000000000000001</c:v>
                </c:pt>
                <c:pt idx="400">
                  <c:v>1.1000000000000001</c:v>
                </c:pt>
                <c:pt idx="401">
                  <c:v>9.5</c:v>
                </c:pt>
                <c:pt idx="402">
                  <c:v>0.16300000000000001</c:v>
                </c:pt>
                <c:pt idx="403">
                  <c:v>5.0999999999999996</c:v>
                </c:pt>
                <c:pt idx="404">
                  <c:v>27</c:v>
                </c:pt>
                <c:pt idx="405">
                  <c:v>1.9</c:v>
                </c:pt>
                <c:pt idx="406">
                  <c:v>10.5</c:v>
                </c:pt>
                <c:pt idx="407">
                  <c:v>0.2</c:v>
                </c:pt>
                <c:pt idx="408">
                  <c:v>0.2</c:v>
                </c:pt>
                <c:pt idx="409">
                  <c:v>12</c:v>
                </c:pt>
                <c:pt idx="410">
                  <c:v>17.5</c:v>
                </c:pt>
                <c:pt idx="411">
                  <c:v>3</c:v>
                </c:pt>
                <c:pt idx="412">
                  <c:v>7.6000000000000014</c:v>
                </c:pt>
                <c:pt idx="413">
                  <c:v>15.1</c:v>
                </c:pt>
                <c:pt idx="414">
                  <c:v>16.7</c:v>
                </c:pt>
                <c:pt idx="415">
                  <c:v>10</c:v>
                </c:pt>
                <c:pt idx="416">
                  <c:v>10</c:v>
                </c:pt>
                <c:pt idx="417">
                  <c:v>20</c:v>
                </c:pt>
                <c:pt idx="418">
                  <c:v>20</c:v>
                </c:pt>
                <c:pt idx="419">
                  <c:v>8</c:v>
                </c:pt>
                <c:pt idx="420">
                  <c:v>5.5</c:v>
                </c:pt>
                <c:pt idx="421">
                  <c:v>4</c:v>
                </c:pt>
                <c:pt idx="422">
                  <c:v>7.6</c:v>
                </c:pt>
                <c:pt idx="423">
                  <c:v>7.6</c:v>
                </c:pt>
                <c:pt idx="424">
                  <c:v>0.77500000000000002</c:v>
                </c:pt>
                <c:pt idx="425">
                  <c:v>0.77500000000000002</c:v>
                </c:pt>
                <c:pt idx="426">
                  <c:v>1</c:v>
                </c:pt>
                <c:pt idx="427">
                  <c:v>5</c:v>
                </c:pt>
                <c:pt idx="428">
                  <c:v>19</c:v>
                </c:pt>
                <c:pt idx="429">
                  <c:v>3</c:v>
                </c:pt>
                <c:pt idx="430">
                  <c:v>3</c:v>
                </c:pt>
                <c:pt idx="431">
                  <c:v>20.8</c:v>
                </c:pt>
                <c:pt idx="432">
                  <c:v>11</c:v>
                </c:pt>
                <c:pt idx="433">
                  <c:v>0.1</c:v>
                </c:pt>
                <c:pt idx="434">
                  <c:v>6</c:v>
                </c:pt>
                <c:pt idx="435">
                  <c:v>32.5</c:v>
                </c:pt>
                <c:pt idx="436">
                  <c:v>4.3</c:v>
                </c:pt>
                <c:pt idx="437">
                  <c:v>4.9000000000000004</c:v>
                </c:pt>
                <c:pt idx="440">
                  <c:v>5</c:v>
                </c:pt>
                <c:pt idx="441">
                  <c:v>13.5</c:v>
                </c:pt>
                <c:pt idx="442">
                  <c:v>13</c:v>
                </c:pt>
                <c:pt idx="443">
                  <c:v>13</c:v>
                </c:pt>
                <c:pt idx="444">
                  <c:v>12.6</c:v>
                </c:pt>
                <c:pt idx="445">
                  <c:v>5</c:v>
                </c:pt>
                <c:pt idx="446">
                  <c:v>5.5</c:v>
                </c:pt>
                <c:pt idx="447">
                  <c:v>27</c:v>
                </c:pt>
                <c:pt idx="448">
                  <c:v>16.5</c:v>
                </c:pt>
                <c:pt idx="449">
                  <c:v>48</c:v>
                </c:pt>
                <c:pt idx="450">
                  <c:v>8</c:v>
                </c:pt>
                <c:pt idx="451">
                  <c:v>8.5</c:v>
                </c:pt>
                <c:pt idx="452">
                  <c:v>12.5</c:v>
                </c:pt>
                <c:pt idx="453">
                  <c:v>17</c:v>
                </c:pt>
                <c:pt idx="454">
                  <c:v>3.7</c:v>
                </c:pt>
                <c:pt idx="455">
                  <c:v>5.8</c:v>
                </c:pt>
                <c:pt idx="456">
                  <c:v>6.9</c:v>
                </c:pt>
                <c:pt idx="457">
                  <c:v>13.1</c:v>
                </c:pt>
                <c:pt idx="458">
                  <c:v>13.8</c:v>
                </c:pt>
                <c:pt idx="461">
                  <c:v>0.6</c:v>
                </c:pt>
                <c:pt idx="462">
                  <c:v>0.04</c:v>
                </c:pt>
                <c:pt idx="464">
                  <c:v>3.6</c:v>
                </c:pt>
                <c:pt idx="465">
                  <c:v>3.6</c:v>
                </c:pt>
                <c:pt idx="466">
                  <c:v>0.51</c:v>
                </c:pt>
                <c:pt idx="467">
                  <c:v>0.75</c:v>
                </c:pt>
                <c:pt idx="468">
                  <c:v>0.4</c:v>
                </c:pt>
                <c:pt idx="469">
                  <c:v>4</c:v>
                </c:pt>
                <c:pt idx="470">
                  <c:v>9</c:v>
                </c:pt>
                <c:pt idx="471">
                  <c:v>7</c:v>
                </c:pt>
                <c:pt idx="472">
                  <c:v>8.8000000000000007</c:v>
                </c:pt>
                <c:pt idx="473">
                  <c:v>8.5</c:v>
                </c:pt>
                <c:pt idx="474">
                  <c:v>0.6</c:v>
                </c:pt>
                <c:pt idx="475">
                  <c:v>9</c:v>
                </c:pt>
                <c:pt idx="476">
                  <c:v>1.5</c:v>
                </c:pt>
                <c:pt idx="477">
                  <c:v>8.5</c:v>
                </c:pt>
                <c:pt idx="478">
                  <c:v>15</c:v>
                </c:pt>
                <c:pt idx="479">
                  <c:v>3.1</c:v>
                </c:pt>
                <c:pt idx="481">
                  <c:v>45</c:v>
                </c:pt>
                <c:pt idx="482">
                  <c:v>6.6</c:v>
                </c:pt>
                <c:pt idx="483">
                  <c:v>14</c:v>
                </c:pt>
                <c:pt idx="484">
                  <c:v>0.45</c:v>
                </c:pt>
                <c:pt idx="485">
                  <c:v>9</c:v>
                </c:pt>
                <c:pt idx="486">
                  <c:v>5</c:v>
                </c:pt>
                <c:pt idx="487">
                  <c:v>2</c:v>
                </c:pt>
                <c:pt idx="488">
                  <c:v>0.5</c:v>
                </c:pt>
                <c:pt idx="489">
                  <c:v>7.5</c:v>
                </c:pt>
                <c:pt idx="490">
                  <c:v>2.1800000000000002</c:v>
                </c:pt>
                <c:pt idx="491">
                  <c:v>7</c:v>
                </c:pt>
                <c:pt idx="492">
                  <c:v>5.2</c:v>
                </c:pt>
                <c:pt idx="493">
                  <c:v>2.7</c:v>
                </c:pt>
                <c:pt idx="494">
                  <c:v>3</c:v>
                </c:pt>
                <c:pt idx="495">
                  <c:v>31.5</c:v>
                </c:pt>
                <c:pt idx="496">
                  <c:v>5.5</c:v>
                </c:pt>
                <c:pt idx="497">
                  <c:v>10</c:v>
                </c:pt>
                <c:pt idx="498">
                  <c:v>3.4</c:v>
                </c:pt>
                <c:pt idx="499">
                  <c:v>3.1</c:v>
                </c:pt>
                <c:pt idx="500">
                  <c:v>14.8</c:v>
                </c:pt>
                <c:pt idx="501">
                  <c:v>23.5</c:v>
                </c:pt>
                <c:pt idx="502">
                  <c:v>4.0999999999999996</c:v>
                </c:pt>
                <c:pt idx="503">
                  <c:v>3.5</c:v>
                </c:pt>
                <c:pt idx="504">
                  <c:v>4.5</c:v>
                </c:pt>
                <c:pt idx="505">
                  <c:v>6.8</c:v>
                </c:pt>
                <c:pt idx="506">
                  <c:v>43</c:v>
                </c:pt>
                <c:pt idx="507">
                  <c:v>45</c:v>
                </c:pt>
                <c:pt idx="508">
                  <c:v>11</c:v>
                </c:pt>
                <c:pt idx="509">
                  <c:v>7.1</c:v>
                </c:pt>
                <c:pt idx="510">
                  <c:v>7.2</c:v>
                </c:pt>
                <c:pt idx="511">
                  <c:v>10.8</c:v>
                </c:pt>
                <c:pt idx="512">
                  <c:v>24</c:v>
                </c:pt>
                <c:pt idx="513">
                  <c:v>14</c:v>
                </c:pt>
                <c:pt idx="514">
                  <c:v>13.6</c:v>
                </c:pt>
                <c:pt idx="515">
                  <c:v>13.7</c:v>
                </c:pt>
                <c:pt idx="516">
                  <c:v>13.6</c:v>
                </c:pt>
                <c:pt idx="517">
                  <c:v>4</c:v>
                </c:pt>
                <c:pt idx="518">
                  <c:v>2</c:v>
                </c:pt>
                <c:pt idx="519">
                  <c:v>19</c:v>
                </c:pt>
                <c:pt idx="520">
                  <c:v>35</c:v>
                </c:pt>
                <c:pt idx="521">
                  <c:v>21</c:v>
                </c:pt>
                <c:pt idx="522">
                  <c:v>3.6</c:v>
                </c:pt>
                <c:pt idx="523">
                  <c:v>5.5</c:v>
                </c:pt>
                <c:pt idx="524">
                  <c:v>15</c:v>
                </c:pt>
                <c:pt idx="525">
                  <c:v>4</c:v>
                </c:pt>
                <c:pt idx="526">
                  <c:v>2.6</c:v>
                </c:pt>
                <c:pt idx="527">
                  <c:v>4.2</c:v>
                </c:pt>
                <c:pt idx="528">
                  <c:v>3.1</c:v>
                </c:pt>
                <c:pt idx="529">
                  <c:v>20.9</c:v>
                </c:pt>
                <c:pt idx="530">
                  <c:v>2</c:v>
                </c:pt>
                <c:pt idx="531">
                  <c:v>5.5</c:v>
                </c:pt>
                <c:pt idx="532">
                  <c:v>4</c:v>
                </c:pt>
                <c:pt idx="535">
                  <c:v>0.1</c:v>
                </c:pt>
                <c:pt idx="536">
                  <c:v>3.5</c:v>
                </c:pt>
                <c:pt idx="537">
                  <c:v>4.8</c:v>
                </c:pt>
                <c:pt idx="538">
                  <c:v>0.05</c:v>
                </c:pt>
                <c:pt idx="539">
                  <c:v>2.5</c:v>
                </c:pt>
                <c:pt idx="540">
                  <c:v>4.5</c:v>
                </c:pt>
                <c:pt idx="541">
                  <c:v>0.6</c:v>
                </c:pt>
                <c:pt idx="542">
                  <c:v>0.5</c:v>
                </c:pt>
                <c:pt idx="543">
                  <c:v>2.7</c:v>
                </c:pt>
                <c:pt idx="544">
                  <c:v>0.7</c:v>
                </c:pt>
                <c:pt idx="546">
                  <c:v>3</c:v>
                </c:pt>
                <c:pt idx="547">
                  <c:v>0.2</c:v>
                </c:pt>
                <c:pt idx="548">
                  <c:v>0.2</c:v>
                </c:pt>
                <c:pt idx="549">
                  <c:v>6.4</c:v>
                </c:pt>
                <c:pt idx="550">
                  <c:v>6.2</c:v>
                </c:pt>
                <c:pt idx="551">
                  <c:v>0.9</c:v>
                </c:pt>
                <c:pt idx="552">
                  <c:v>9.5</c:v>
                </c:pt>
                <c:pt idx="553">
                  <c:v>8.1</c:v>
                </c:pt>
                <c:pt idx="555">
                  <c:v>8</c:v>
                </c:pt>
                <c:pt idx="556">
                  <c:v>8</c:v>
                </c:pt>
                <c:pt idx="557">
                  <c:v>1.155</c:v>
                </c:pt>
                <c:pt idx="558">
                  <c:v>0.4</c:v>
                </c:pt>
                <c:pt idx="559">
                  <c:v>0.4</c:v>
                </c:pt>
                <c:pt idx="560">
                  <c:v>7.9</c:v>
                </c:pt>
                <c:pt idx="561">
                  <c:v>7.5</c:v>
                </c:pt>
                <c:pt idx="562">
                  <c:v>4.0999999999999996</c:v>
                </c:pt>
                <c:pt idx="563">
                  <c:v>1.1000000000000001</c:v>
                </c:pt>
                <c:pt idx="564">
                  <c:v>4.25</c:v>
                </c:pt>
                <c:pt idx="565">
                  <c:v>19.899999999999999</c:v>
                </c:pt>
                <c:pt idx="566">
                  <c:v>4</c:v>
                </c:pt>
                <c:pt idx="567">
                  <c:v>0.85</c:v>
                </c:pt>
                <c:pt idx="569">
                  <c:v>7.35</c:v>
                </c:pt>
                <c:pt idx="570">
                  <c:v>3.8</c:v>
                </c:pt>
                <c:pt idx="571">
                  <c:v>7.5</c:v>
                </c:pt>
                <c:pt idx="572">
                  <c:v>3.5</c:v>
                </c:pt>
                <c:pt idx="573">
                  <c:v>10.5</c:v>
                </c:pt>
                <c:pt idx="574">
                  <c:v>3.9</c:v>
                </c:pt>
                <c:pt idx="575">
                  <c:v>8</c:v>
                </c:pt>
                <c:pt idx="576">
                  <c:v>3.2</c:v>
                </c:pt>
                <c:pt idx="577">
                  <c:v>0.25</c:v>
                </c:pt>
                <c:pt idx="578">
                  <c:v>0.26500000000000001</c:v>
                </c:pt>
                <c:pt idx="579">
                  <c:v>0.77800000000000002</c:v>
                </c:pt>
                <c:pt idx="580">
                  <c:v>3.7</c:v>
                </c:pt>
                <c:pt idx="581">
                  <c:v>4.5</c:v>
                </c:pt>
                <c:pt idx="582">
                  <c:v>6</c:v>
                </c:pt>
                <c:pt idx="583">
                  <c:v>0.5</c:v>
                </c:pt>
                <c:pt idx="585">
                  <c:v>12</c:v>
                </c:pt>
                <c:pt idx="586">
                  <c:v>0.7</c:v>
                </c:pt>
                <c:pt idx="587">
                  <c:v>6</c:v>
                </c:pt>
                <c:pt idx="588">
                  <c:v>2</c:v>
                </c:pt>
                <c:pt idx="589">
                  <c:v>2.2999999999999998</c:v>
                </c:pt>
                <c:pt idx="590">
                  <c:v>2.4</c:v>
                </c:pt>
                <c:pt idx="591">
                  <c:v>6</c:v>
                </c:pt>
                <c:pt idx="592">
                  <c:v>2.79</c:v>
                </c:pt>
                <c:pt idx="593">
                  <c:v>8.1</c:v>
                </c:pt>
                <c:pt idx="594">
                  <c:v>36.9</c:v>
                </c:pt>
                <c:pt idx="595">
                  <c:v>11.5</c:v>
                </c:pt>
                <c:pt idx="596">
                  <c:v>0.3</c:v>
                </c:pt>
                <c:pt idx="597">
                  <c:v>0.75</c:v>
                </c:pt>
                <c:pt idx="598">
                  <c:v>0.75</c:v>
                </c:pt>
                <c:pt idx="599">
                  <c:v>1.4</c:v>
                </c:pt>
                <c:pt idx="600">
                  <c:v>0.15</c:v>
                </c:pt>
                <c:pt idx="601">
                  <c:v>0.22</c:v>
                </c:pt>
                <c:pt idx="602">
                  <c:v>2.4</c:v>
                </c:pt>
                <c:pt idx="603">
                  <c:v>3</c:v>
                </c:pt>
                <c:pt idx="604">
                  <c:v>1.05</c:v>
                </c:pt>
                <c:pt idx="605">
                  <c:v>0.08</c:v>
                </c:pt>
                <c:pt idx="606">
                  <c:v>18.600000000000001</c:v>
                </c:pt>
                <c:pt idx="607">
                  <c:v>20</c:v>
                </c:pt>
                <c:pt idx="608">
                  <c:v>6</c:v>
                </c:pt>
                <c:pt idx="609">
                  <c:v>4.0999999999999996</c:v>
                </c:pt>
                <c:pt idx="610">
                  <c:v>3</c:v>
                </c:pt>
                <c:pt idx="611">
                  <c:v>0.6</c:v>
                </c:pt>
                <c:pt idx="612">
                  <c:v>22</c:v>
                </c:pt>
                <c:pt idx="613">
                  <c:v>9</c:v>
                </c:pt>
                <c:pt idx="614">
                  <c:v>21.4</c:v>
                </c:pt>
                <c:pt idx="615">
                  <c:v>11.8</c:v>
                </c:pt>
                <c:pt idx="616">
                  <c:v>4</c:v>
                </c:pt>
                <c:pt idx="617">
                  <c:v>9</c:v>
                </c:pt>
                <c:pt idx="618">
                  <c:v>3</c:v>
                </c:pt>
                <c:pt idx="619">
                  <c:v>30</c:v>
                </c:pt>
                <c:pt idx="620">
                  <c:v>2.8</c:v>
                </c:pt>
                <c:pt idx="621">
                  <c:v>3.6</c:v>
                </c:pt>
                <c:pt idx="622">
                  <c:v>3.3</c:v>
                </c:pt>
                <c:pt idx="623">
                  <c:v>3</c:v>
                </c:pt>
                <c:pt idx="624">
                  <c:v>0.8</c:v>
                </c:pt>
                <c:pt idx="625">
                  <c:v>10</c:v>
                </c:pt>
                <c:pt idx="626">
                  <c:v>19</c:v>
                </c:pt>
                <c:pt idx="627">
                  <c:v>6.7</c:v>
                </c:pt>
                <c:pt idx="628">
                  <c:v>6.8</c:v>
                </c:pt>
                <c:pt idx="629">
                  <c:v>18.3</c:v>
                </c:pt>
                <c:pt idx="630">
                  <c:v>8.6</c:v>
                </c:pt>
                <c:pt idx="631">
                  <c:v>0.2</c:v>
                </c:pt>
                <c:pt idx="632">
                  <c:v>17</c:v>
                </c:pt>
                <c:pt idx="633">
                  <c:v>8.1</c:v>
                </c:pt>
                <c:pt idx="634">
                  <c:v>12</c:v>
                </c:pt>
                <c:pt idx="635">
                  <c:v>26</c:v>
                </c:pt>
                <c:pt idx="636">
                  <c:v>17.899999999999999</c:v>
                </c:pt>
                <c:pt idx="637">
                  <c:v>6.6</c:v>
                </c:pt>
                <c:pt idx="638">
                  <c:v>19.8</c:v>
                </c:pt>
                <c:pt idx="639">
                  <c:v>13.5</c:v>
                </c:pt>
                <c:pt idx="640">
                  <c:v>5</c:v>
                </c:pt>
                <c:pt idx="641">
                  <c:v>16.100000000000001</c:v>
                </c:pt>
                <c:pt idx="642">
                  <c:v>0.75</c:v>
                </c:pt>
                <c:pt idx="643">
                  <c:v>1.1000000000000001</c:v>
                </c:pt>
                <c:pt idx="644">
                  <c:v>2.7</c:v>
                </c:pt>
                <c:pt idx="645">
                  <c:v>4</c:v>
                </c:pt>
                <c:pt idx="646">
                  <c:v>3</c:v>
                </c:pt>
                <c:pt idx="647">
                  <c:v>26</c:v>
                </c:pt>
                <c:pt idx="649">
                  <c:v>5.3</c:v>
                </c:pt>
                <c:pt idx="650">
                  <c:v>4.8</c:v>
                </c:pt>
                <c:pt idx="651">
                  <c:v>9.4</c:v>
                </c:pt>
                <c:pt idx="652">
                  <c:v>5</c:v>
                </c:pt>
                <c:pt idx="653">
                  <c:v>29.6</c:v>
                </c:pt>
                <c:pt idx="654">
                  <c:v>0.5</c:v>
                </c:pt>
                <c:pt idx="655">
                  <c:v>0.9</c:v>
                </c:pt>
                <c:pt idx="656">
                  <c:v>18.7</c:v>
                </c:pt>
                <c:pt idx="657">
                  <c:v>18.7</c:v>
                </c:pt>
                <c:pt idx="658">
                  <c:v>9</c:v>
                </c:pt>
                <c:pt idx="659">
                  <c:v>16</c:v>
                </c:pt>
                <c:pt idx="660">
                  <c:v>2.1</c:v>
                </c:pt>
                <c:pt idx="661">
                  <c:v>5</c:v>
                </c:pt>
                <c:pt idx="662">
                  <c:v>31</c:v>
                </c:pt>
                <c:pt idx="663">
                  <c:v>0.85</c:v>
                </c:pt>
                <c:pt idx="664">
                  <c:v>11</c:v>
                </c:pt>
                <c:pt idx="665">
                  <c:v>10</c:v>
                </c:pt>
                <c:pt idx="666">
                  <c:v>3.4</c:v>
                </c:pt>
                <c:pt idx="667">
                  <c:v>4.0999999999999996</c:v>
                </c:pt>
                <c:pt idx="668">
                  <c:v>52</c:v>
                </c:pt>
                <c:pt idx="669">
                  <c:v>7</c:v>
                </c:pt>
                <c:pt idx="670">
                  <c:v>7.5</c:v>
                </c:pt>
                <c:pt idx="671">
                  <c:v>7.5</c:v>
                </c:pt>
                <c:pt idx="672">
                  <c:v>13.5</c:v>
                </c:pt>
                <c:pt idx="673">
                  <c:v>40.5</c:v>
                </c:pt>
                <c:pt idx="674">
                  <c:v>7.4</c:v>
                </c:pt>
                <c:pt idx="675">
                  <c:v>0.1</c:v>
                </c:pt>
                <c:pt idx="676">
                  <c:v>19.8</c:v>
                </c:pt>
                <c:pt idx="677">
                  <c:v>19.399999999999999</c:v>
                </c:pt>
                <c:pt idx="678">
                  <c:v>51</c:v>
                </c:pt>
                <c:pt idx="679">
                  <c:v>5.8</c:v>
                </c:pt>
                <c:pt idx="680">
                  <c:v>6.6</c:v>
                </c:pt>
                <c:pt idx="681">
                  <c:v>3</c:v>
                </c:pt>
                <c:pt idx="682">
                  <c:v>3</c:v>
                </c:pt>
                <c:pt idx="683">
                  <c:v>18.399999999999999</c:v>
                </c:pt>
                <c:pt idx="684">
                  <c:v>20.7</c:v>
                </c:pt>
              </c:numCache>
            </c:numRef>
          </c:xVal>
          <c:yVal>
            <c:numRef>
              <c:f>CMOS!$U$2:$U$1635</c:f>
              <c:numCache>
                <c:formatCode>0.00</c:formatCode>
                <c:ptCount val="1634"/>
                <c:pt idx="1">
                  <c:v>-10.313225898561441</c:v>
                </c:pt>
                <c:pt idx="2">
                  <c:v>#N/A</c:v>
                </c:pt>
                <c:pt idx="3">
                  <c:v>#N/A</c:v>
                </c:pt>
                <c:pt idx="4">
                  <c:v>#N/A</c:v>
                </c:pt>
                <c:pt idx="5">
                  <c:v>-8.0278280853445203</c:v>
                </c:pt>
                <c:pt idx="6">
                  <c:v>-6.06716100403656</c:v>
                </c:pt>
                <c:pt idx="7">
                  <c:v>#N/A</c:v>
                </c:pt>
                <c:pt idx="8">
                  <c:v>-12.778758504362099</c:v>
                </c:pt>
                <c:pt idx="9">
                  <c:v>#N/A</c:v>
                </c:pt>
                <c:pt idx="10">
                  <c:v>-6.9612092216570449</c:v>
                </c:pt>
                <c:pt idx="11">
                  <c:v>-5.6529736708576701</c:v>
                </c:pt>
                <c:pt idx="12">
                  <c:v>-6.8432275452374869</c:v>
                </c:pt>
                <c:pt idx="13">
                  <c:v>#N/A</c:v>
                </c:pt>
                <c:pt idx="14">
                  <c:v>-8.2705193537212729</c:v>
                </c:pt>
                <c:pt idx="15">
                  <c:v>-9.5192976984370681</c:v>
                </c:pt>
                <c:pt idx="16">
                  <c:v>-13.644215498977418</c:v>
                </c:pt>
                <c:pt idx="17">
                  <c:v>#N/A</c:v>
                </c:pt>
                <c:pt idx="18">
                  <c:v>-10.902003262130009</c:v>
                </c:pt>
                <c:pt idx="19">
                  <c:v>-8.6515136184555548</c:v>
                </c:pt>
                <c:pt idx="20">
                  <c:v>-13.293703665403271</c:v>
                </c:pt>
                <c:pt idx="21">
                  <c:v>-12.587623394675704</c:v>
                </c:pt>
                <c:pt idx="22">
                  <c:v>-7.3929322693144224</c:v>
                </c:pt>
                <c:pt idx="23">
                  <c:v>-9.1045444159187756</c:v>
                </c:pt>
                <c:pt idx="24">
                  <c:v>-6.0416143721526065</c:v>
                </c:pt>
                <c:pt idx="25">
                  <c:v>-11.253769485555656</c:v>
                </c:pt>
                <c:pt idx="26">
                  <c:v>-15.233520894855424</c:v>
                </c:pt>
                <c:pt idx="27">
                  <c:v>-10.354582512118773</c:v>
                </c:pt>
                <c:pt idx="28">
                  <c:v>-10.607073625825119</c:v>
                </c:pt>
                <c:pt idx="29">
                  <c:v>-9.2192898280719309</c:v>
                </c:pt>
                <c:pt idx="30">
                  <c:v>-4.3165097003403741</c:v>
                </c:pt>
                <c:pt idx="31">
                  <c:v>-7.3775441139162155</c:v>
                </c:pt>
                <c:pt idx="32">
                  <c:v>-15.614314332489711</c:v>
                </c:pt>
                <c:pt idx="33">
                  <c:v>-8.2078344408297994</c:v>
                </c:pt>
                <c:pt idx="34">
                  <c:v>-4.5104944761096153</c:v>
                </c:pt>
                <c:pt idx="35">
                  <c:v>-16.911447887565444</c:v>
                </c:pt>
                <c:pt idx="36">
                  <c:v>-8.0155411233142857</c:v>
                </c:pt>
                <c:pt idx="37">
                  <c:v>-8.5375507095760046</c:v>
                </c:pt>
                <c:pt idx="38">
                  <c:v>-8.8378733384724555</c:v>
                </c:pt>
                <c:pt idx="39">
                  <c:v>-6.1065125924746013</c:v>
                </c:pt>
                <c:pt idx="40">
                  <c:v>-7.1925946109251431</c:v>
                </c:pt>
                <c:pt idx="41">
                  <c:v>-22.188899056466919</c:v>
                </c:pt>
                <c:pt idx="42">
                  <c:v>-10.109148207569401</c:v>
                </c:pt>
                <c:pt idx="43">
                  <c:v>-6.0549997027909335</c:v>
                </c:pt>
                <c:pt idx="44">
                  <c:v>-7.6405053597634476</c:v>
                </c:pt>
                <c:pt idx="45">
                  <c:v>-9.6750709636826979</c:v>
                </c:pt>
                <c:pt idx="46">
                  <c:v>-8.2641644950226691</c:v>
                </c:pt>
                <c:pt idx="47">
                  <c:v>-13.714303752646652</c:v>
                </c:pt>
                <c:pt idx="48">
                  <c:v>-19.181977573391045</c:v>
                </c:pt>
                <c:pt idx="49">
                  <c:v>-11.354435083360313</c:v>
                </c:pt>
                <c:pt idx="50">
                  <c:v>-11.595024258710422</c:v>
                </c:pt>
                <c:pt idx="51">
                  <c:v>-12.887765606520695</c:v>
                </c:pt>
                <c:pt idx="52">
                  <c:v>-13.198513773915336</c:v>
                </c:pt>
                <c:pt idx="53">
                  <c:v>-8.7213626641352509</c:v>
                </c:pt>
                <c:pt idx="54">
                  <c:v>-10.05632080537174</c:v>
                </c:pt>
                <c:pt idx="55">
                  <c:v>-17.116741088987418</c:v>
                </c:pt>
                <c:pt idx="56">
                  <c:v>-4.472857188956648</c:v>
                </c:pt>
                <c:pt idx="57">
                  <c:v>-3.8830989931246567</c:v>
                </c:pt>
                <c:pt idx="58">
                  <c:v>-9.3728172575951838</c:v>
                </c:pt>
                <c:pt idx="59">
                  <c:v>-12.15964249900798</c:v>
                </c:pt>
                <c:pt idx="60">
                  <c:v>-8.9320947898747018</c:v>
                </c:pt>
                <c:pt idx="61">
                  <c:v>-9.3290577498798299</c:v>
                </c:pt>
                <c:pt idx="62">
                  <c:v>-10.004195367438856</c:v>
                </c:pt>
                <c:pt idx="63">
                  <c:v>-5.3005247590167013</c:v>
                </c:pt>
                <c:pt idx="64">
                  <c:v>-6.5261785757930255</c:v>
                </c:pt>
                <c:pt idx="65">
                  <c:v>-11.233121496275329</c:v>
                </c:pt>
                <c:pt idx="66">
                  <c:v>-12.650778555600436</c:v>
                </c:pt>
                <c:pt idx="67">
                  <c:v>-13.896132147365257</c:v>
                </c:pt>
                <c:pt idx="68">
                  <c:v>-8.5606719048224029</c:v>
                </c:pt>
                <c:pt idx="69">
                  <c:v>-13.852178364687679</c:v>
                </c:pt>
                <c:pt idx="70">
                  <c:v>-5.4985332590738487</c:v>
                </c:pt>
                <c:pt idx="71">
                  <c:v>-3.5948129729152667</c:v>
                </c:pt>
                <c:pt idx="72">
                  <c:v>-15.204728468290714</c:v>
                </c:pt>
                <c:pt idx="73">
                  <c:v>-11.612604380207227</c:v>
                </c:pt>
                <c:pt idx="74">
                  <c:v>-5.0571727288326498</c:v>
                </c:pt>
                <c:pt idx="75">
                  <c:v>-7.1907619791802189</c:v>
                </c:pt>
                <c:pt idx="76">
                  <c:v>-5.4346692967104602</c:v>
                </c:pt>
                <c:pt idx="77">
                  <c:v>-12.90114542306036</c:v>
                </c:pt>
                <c:pt idx="78">
                  <c:v>-9.2105836151706058</c:v>
                </c:pt>
                <c:pt idx="79">
                  <c:v>-10.823969836991497</c:v>
                </c:pt>
                <c:pt idx="80">
                  <c:v>-9.7017792295956475</c:v>
                </c:pt>
                <c:pt idx="81">
                  <c:v>-9.8076566634716986</c:v>
                </c:pt>
                <c:pt idx="82">
                  <c:v>-17.694380195274398</c:v>
                </c:pt>
                <c:pt idx="83">
                  <c:v>-11.046095502896986</c:v>
                </c:pt>
                <c:pt idx="84">
                  <c:v>-9.3462142583414458</c:v>
                </c:pt>
                <c:pt idx="85">
                  <c:v>#N/A</c:v>
                </c:pt>
                <c:pt idx="86">
                  <c:v>-5.0531521560191486</c:v>
                </c:pt>
                <c:pt idx="87">
                  <c:v>-5.1440559449443706</c:v>
                </c:pt>
                <c:pt idx="88">
                  <c:v>-12.350109419451151</c:v>
                </c:pt>
                <c:pt idx="89">
                  <c:v>-14.832625884903415</c:v>
                </c:pt>
                <c:pt idx="90">
                  <c:v>-3.6953060228065877</c:v>
                </c:pt>
                <c:pt idx="91">
                  <c:v>-1.3958349547866975</c:v>
                </c:pt>
                <c:pt idx="92">
                  <c:v>-14.980534543257567</c:v>
                </c:pt>
                <c:pt idx="93">
                  <c:v>#N/A</c:v>
                </c:pt>
                <c:pt idx="94">
                  <c:v>-13.990696644637644</c:v>
                </c:pt>
                <c:pt idx="95">
                  <c:v>-12.380135655610605</c:v>
                </c:pt>
                <c:pt idx="96">
                  <c:v>-12.854332287982434</c:v>
                </c:pt>
                <c:pt idx="97">
                  <c:v>-11.082648154573597</c:v>
                </c:pt>
                <c:pt idx="98">
                  <c:v>-14.003832945033034</c:v>
                </c:pt>
                <c:pt idx="99">
                  <c:v>-12.474552188614089</c:v>
                </c:pt>
                <c:pt idx="100">
                  <c:v>-7.413176125220426</c:v>
                </c:pt>
                <c:pt idx="101">
                  <c:v>-7.0973005314875897</c:v>
                </c:pt>
                <c:pt idx="102">
                  <c:v>-12.55963084874808</c:v>
                </c:pt>
                <c:pt idx="103">
                  <c:v>-2.7946543235926824</c:v>
                </c:pt>
                <c:pt idx="104">
                  <c:v>#N/A</c:v>
                </c:pt>
                <c:pt idx="105">
                  <c:v>#N/A</c:v>
                </c:pt>
                <c:pt idx="106">
                  <c:v>-14.546919117879789</c:v>
                </c:pt>
                <c:pt idx="107">
                  <c:v>-9.1152048582215883</c:v>
                </c:pt>
                <c:pt idx="108">
                  <c:v>#N/A</c:v>
                </c:pt>
                <c:pt idx="109">
                  <c:v>-15.37286509451334</c:v>
                </c:pt>
                <c:pt idx="110">
                  <c:v>-11.488506416586469</c:v>
                </c:pt>
                <c:pt idx="111">
                  <c:v>-10.690983126676819</c:v>
                </c:pt>
                <c:pt idx="112">
                  <c:v>-15.028036014677783</c:v>
                </c:pt>
                <c:pt idx="113">
                  <c:v>-13.177738111292184</c:v>
                </c:pt>
                <c:pt idx="114">
                  <c:v>-14.788776668102543</c:v>
                </c:pt>
                <c:pt idx="115">
                  <c:v>-13.023440847611594</c:v>
                </c:pt>
                <c:pt idx="116">
                  <c:v>-15.110143233208708</c:v>
                </c:pt>
                <c:pt idx="117">
                  <c:v>-10.221615838577844</c:v>
                </c:pt>
                <c:pt idx="118">
                  <c:v>-11.902493290650566</c:v>
                </c:pt>
                <c:pt idx="119">
                  <c:v>-12.709094229218232</c:v>
                </c:pt>
                <c:pt idx="120">
                  <c:v>-12.592392320655723</c:v>
                </c:pt>
                <c:pt idx="121">
                  <c:v>-10.20087016884262</c:v>
                </c:pt>
                <c:pt idx="122">
                  <c:v>-12.42160541807219</c:v>
                </c:pt>
                <c:pt idx="123">
                  <c:v>#N/A</c:v>
                </c:pt>
                <c:pt idx="124">
                  <c:v>-9.4377754575506287</c:v>
                </c:pt>
                <c:pt idx="125">
                  <c:v>-9.4389821775575857</c:v>
                </c:pt>
                <c:pt idx="126">
                  <c:v>-9.2614999534508495</c:v>
                </c:pt>
                <c:pt idx="127">
                  <c:v>-11.006939052358632</c:v>
                </c:pt>
                <c:pt idx="128">
                  <c:v>-6.9015920893915803</c:v>
                </c:pt>
                <c:pt idx="129">
                  <c:v>-7.1698695752464774</c:v>
                </c:pt>
                <c:pt idx="130">
                  <c:v>-11.617789227414614</c:v>
                </c:pt>
                <c:pt idx="131">
                  <c:v>-11.588780009682674</c:v>
                </c:pt>
                <c:pt idx="132">
                  <c:v>-9.5110258957939919</c:v>
                </c:pt>
                <c:pt idx="133">
                  <c:v>-10.889917105057478</c:v>
                </c:pt>
                <c:pt idx="134">
                  <c:v>-11.543711728959204</c:v>
                </c:pt>
                <c:pt idx="135">
                  <c:v>-13.45312348492563</c:v>
                </c:pt>
                <c:pt idx="136">
                  <c:v>-14.659491160457115</c:v>
                </c:pt>
                <c:pt idx="137">
                  <c:v>-4.8873158689309744</c:v>
                </c:pt>
                <c:pt idx="138">
                  <c:v>-14.316264926755119</c:v>
                </c:pt>
                <c:pt idx="139">
                  <c:v>-4.5733672028534187</c:v>
                </c:pt>
                <c:pt idx="140">
                  <c:v>-4.6464403543250503</c:v>
                </c:pt>
                <c:pt idx="141">
                  <c:v>-33.410184322627806</c:v>
                </c:pt>
                <c:pt idx="142">
                  <c:v>-33.115923236044765</c:v>
                </c:pt>
                <c:pt idx="143">
                  <c:v>-7.6311667925253293</c:v>
                </c:pt>
                <c:pt idx="144">
                  <c:v>-8.1434150480346315</c:v>
                </c:pt>
                <c:pt idx="145">
                  <c:v>-12.85863068085551</c:v>
                </c:pt>
                <c:pt idx="146">
                  <c:v>-29.426459666558081</c:v>
                </c:pt>
                <c:pt idx="147">
                  <c:v>-29.191580356461813</c:v>
                </c:pt>
                <c:pt idx="148">
                  <c:v>-28.042564173348165</c:v>
                </c:pt>
                <c:pt idx="149">
                  <c:v>-27.884550244530114</c:v>
                </c:pt>
                <c:pt idx="150">
                  <c:v>-28.443145077898372</c:v>
                </c:pt>
                <c:pt idx="151">
                  <c:v>-13.110328934314552</c:v>
                </c:pt>
                <c:pt idx="152">
                  <c:v>#N/A</c:v>
                </c:pt>
                <c:pt idx="153">
                  <c:v>-3.9863332276551127</c:v>
                </c:pt>
                <c:pt idx="154">
                  <c:v>-17.395418987146996</c:v>
                </c:pt>
                <c:pt idx="155">
                  <c:v>-13.063289434538891</c:v>
                </c:pt>
                <c:pt idx="156">
                  <c:v>-15.426573686085016</c:v>
                </c:pt>
                <c:pt idx="157">
                  <c:v>-8.3696241266168343</c:v>
                </c:pt>
                <c:pt idx="158">
                  <c:v>-6.8017369339803224</c:v>
                </c:pt>
                <c:pt idx="159">
                  <c:v>-5.3252046066483434</c:v>
                </c:pt>
                <c:pt idx="160">
                  <c:v>-8.8100329965857895</c:v>
                </c:pt>
                <c:pt idx="161">
                  <c:v>-9.2508368793387934</c:v>
                </c:pt>
                <c:pt idx="162">
                  <c:v>-8.5465688595053209</c:v>
                </c:pt>
                <c:pt idx="163">
                  <c:v>-2.604520082906487</c:v>
                </c:pt>
                <c:pt idx="164">
                  <c:v>-15.456911059087803</c:v>
                </c:pt>
                <c:pt idx="165">
                  <c:v>-11.824105081787192</c:v>
                </c:pt>
                <c:pt idx="166">
                  <c:v>-7.5550603743569926</c:v>
                </c:pt>
                <c:pt idx="167">
                  <c:v>-6.4990655879900885</c:v>
                </c:pt>
                <c:pt idx="168">
                  <c:v>-6.4758310939974333</c:v>
                </c:pt>
                <c:pt idx="169">
                  <c:v>-17.52050629137657</c:v>
                </c:pt>
                <c:pt idx="170">
                  <c:v>-9.583387233307846</c:v>
                </c:pt>
                <c:pt idx="171">
                  <c:v>-7.9826270942861637</c:v>
                </c:pt>
                <c:pt idx="172">
                  <c:v>-7.9826270942861637</c:v>
                </c:pt>
                <c:pt idx="173">
                  <c:v>-8.060936591389396</c:v>
                </c:pt>
                <c:pt idx="174">
                  <c:v>-8.060936591389396</c:v>
                </c:pt>
                <c:pt idx="175">
                  <c:v>-9.3389320545535952</c:v>
                </c:pt>
                <c:pt idx="176">
                  <c:v>-14.964655214878317</c:v>
                </c:pt>
                <c:pt idx="177">
                  <c:v>-17.049778610152025</c:v>
                </c:pt>
                <c:pt idx="178">
                  <c:v>-8.897312327520611</c:v>
                </c:pt>
                <c:pt idx="179">
                  <c:v>-11.553122225554286</c:v>
                </c:pt>
                <c:pt idx="180">
                  <c:v>-15.942582787456983</c:v>
                </c:pt>
                <c:pt idx="181">
                  <c:v>-3.8729183434341206</c:v>
                </c:pt>
                <c:pt idx="182">
                  <c:v>-20.236456239615205</c:v>
                </c:pt>
                <c:pt idx="183">
                  <c:v>-9.5664179166841574</c:v>
                </c:pt>
                <c:pt idx="184">
                  <c:v>-8.0493154567022103</c:v>
                </c:pt>
                <c:pt idx="185">
                  <c:v>-10.451294576500318</c:v>
                </c:pt>
                <c:pt idx="186">
                  <c:v>-8.6874891107282188</c:v>
                </c:pt>
                <c:pt idx="187">
                  <c:v>-7.3231016131240914</c:v>
                </c:pt>
                <c:pt idx="188">
                  <c:v>#N/A</c:v>
                </c:pt>
                <c:pt idx="190">
                  <c:v>-11.83301926352658</c:v>
                </c:pt>
                <c:pt idx="191">
                  <c:v>#N/A</c:v>
                </c:pt>
                <c:pt idx="192">
                  <c:v>-11.04508661039287</c:v>
                </c:pt>
                <c:pt idx="193">
                  <c:v>-4.1959879126154549</c:v>
                </c:pt>
                <c:pt idx="194">
                  <c:v>-15.219732820616985</c:v>
                </c:pt>
                <c:pt idx="195">
                  <c:v>-13.427344110769273</c:v>
                </c:pt>
                <c:pt idx="196">
                  <c:v>#N/A</c:v>
                </c:pt>
                <c:pt idx="197">
                  <c:v>#N/A</c:v>
                </c:pt>
                <c:pt idx="198">
                  <c:v>-8.6834816127915992</c:v>
                </c:pt>
                <c:pt idx="199">
                  <c:v>-6.5840368739309323</c:v>
                </c:pt>
                <c:pt idx="200">
                  <c:v>-9.068828828473487</c:v>
                </c:pt>
                <c:pt idx="201">
                  <c:v>-2.4833296053408458</c:v>
                </c:pt>
                <c:pt idx="202">
                  <c:v>#N/A</c:v>
                </c:pt>
                <c:pt idx="203">
                  <c:v>#N/A</c:v>
                </c:pt>
                <c:pt idx="204">
                  <c:v>-9.3380463609596802</c:v>
                </c:pt>
                <c:pt idx="205">
                  <c:v>-5.2764034682919352</c:v>
                </c:pt>
                <c:pt idx="206">
                  <c:v>-13.9475321044946</c:v>
                </c:pt>
                <c:pt idx="207">
                  <c:v>#N/A</c:v>
                </c:pt>
                <c:pt idx="208">
                  <c:v>-10.72543873193764</c:v>
                </c:pt>
                <c:pt idx="209">
                  <c:v>-6.4873906870474682</c:v>
                </c:pt>
                <c:pt idx="210">
                  <c:v>-7.5878865022083417</c:v>
                </c:pt>
                <c:pt idx="211">
                  <c:v>-7.6474460441959753</c:v>
                </c:pt>
                <c:pt idx="212">
                  <c:v>-7.6780441319482016</c:v>
                </c:pt>
                <c:pt idx="213">
                  <c:v>-11.850021502315245</c:v>
                </c:pt>
                <c:pt idx="214">
                  <c:v>-11.452720972805603</c:v>
                </c:pt>
                <c:pt idx="215">
                  <c:v>-4.6246482340931525</c:v>
                </c:pt>
                <c:pt idx="216">
                  <c:v>-13.180531762449212</c:v>
                </c:pt>
                <c:pt idx="217">
                  <c:v>-9.4259040403419139</c:v>
                </c:pt>
                <c:pt idx="218">
                  <c:v>-15.01798817785356</c:v>
                </c:pt>
                <c:pt idx="219">
                  <c:v>-14.861679031461126</c:v>
                </c:pt>
                <c:pt idx="220">
                  <c:v>-8.4826564805009461</c:v>
                </c:pt>
                <c:pt idx="221">
                  <c:v>-4.5796606512313538</c:v>
                </c:pt>
                <c:pt idx="222">
                  <c:v>-4.0311269008176458</c:v>
                </c:pt>
                <c:pt idx="223">
                  <c:v>-17.993334204237467</c:v>
                </c:pt>
                <c:pt idx="224">
                  <c:v>-7.9931317569697162</c:v>
                </c:pt>
                <c:pt idx="225">
                  <c:v>-6.6283613121330607</c:v>
                </c:pt>
                <c:pt idx="226">
                  <c:v>-23.065313989939799</c:v>
                </c:pt>
                <c:pt idx="227">
                  <c:v>-15.781278587986318</c:v>
                </c:pt>
                <c:pt idx="228">
                  <c:v>#N/A</c:v>
                </c:pt>
                <c:pt idx="229">
                  <c:v>-7.8334004894788007</c:v>
                </c:pt>
                <c:pt idx="230">
                  <c:v>-13.052799772910998</c:v>
                </c:pt>
                <c:pt idx="231">
                  <c:v>-13.787102494919994</c:v>
                </c:pt>
                <c:pt idx="232">
                  <c:v>-15.474183863978453</c:v>
                </c:pt>
                <c:pt idx="233">
                  <c:v>#N/A</c:v>
                </c:pt>
                <c:pt idx="234">
                  <c:v>-16.080589354137881</c:v>
                </c:pt>
                <c:pt idx="235">
                  <c:v>-11.280215715903308</c:v>
                </c:pt>
                <c:pt idx="236">
                  <c:v>-9.7744691659427154</c:v>
                </c:pt>
                <c:pt idx="237">
                  <c:v>-10.043479038661232</c:v>
                </c:pt>
                <c:pt idx="238">
                  <c:v>-10.564248301214416</c:v>
                </c:pt>
                <c:pt idx="239">
                  <c:v>#N/A</c:v>
                </c:pt>
                <c:pt idx="240">
                  <c:v>#N/A</c:v>
                </c:pt>
                <c:pt idx="241">
                  <c:v>#N/A</c:v>
                </c:pt>
                <c:pt idx="242">
                  <c:v>-8.5130996975763829</c:v>
                </c:pt>
                <c:pt idx="243">
                  <c:v>-4.6712730364822264</c:v>
                </c:pt>
                <c:pt idx="244">
                  <c:v>-6.6496511365265345</c:v>
                </c:pt>
                <c:pt idx="245">
                  <c:v>-7.3478380876885048</c:v>
                </c:pt>
                <c:pt idx="246">
                  <c:v>-16.776764493473433</c:v>
                </c:pt>
                <c:pt idx="247">
                  <c:v>-16.481779460101006</c:v>
                </c:pt>
                <c:pt idx="248">
                  <c:v>-19.345675888189984</c:v>
                </c:pt>
                <c:pt idx="249">
                  <c:v>#N/A</c:v>
                </c:pt>
                <c:pt idx="250">
                  <c:v>-7.3907951346646676</c:v>
                </c:pt>
                <c:pt idx="251">
                  <c:v>-3.7463860816296495</c:v>
                </c:pt>
                <c:pt idx="252">
                  <c:v>-12.997329811558332</c:v>
                </c:pt>
                <c:pt idx="253">
                  <c:v>-10.627163361590842</c:v>
                </c:pt>
                <c:pt idx="254">
                  <c:v>-10.541916347681063</c:v>
                </c:pt>
                <c:pt idx="255">
                  <c:v>-12.186733570298848</c:v>
                </c:pt>
                <c:pt idx="256">
                  <c:v>-12.352866394536356</c:v>
                </c:pt>
                <c:pt idx="257">
                  <c:v>-21.447943810303247</c:v>
                </c:pt>
                <c:pt idx="258">
                  <c:v>#N/A</c:v>
                </c:pt>
                <c:pt idx="259">
                  <c:v>-8.2733481006463041</c:v>
                </c:pt>
                <c:pt idx="260">
                  <c:v>-11.33918378909569</c:v>
                </c:pt>
                <c:pt idx="261">
                  <c:v>-20.065374915268418</c:v>
                </c:pt>
                <c:pt idx="262">
                  <c:v>-11.697410090776113</c:v>
                </c:pt>
                <c:pt idx="263">
                  <c:v>-10.073788363830824</c:v>
                </c:pt>
                <c:pt idx="264">
                  <c:v>#N/A</c:v>
                </c:pt>
                <c:pt idx="265">
                  <c:v>-16.452061231546988</c:v>
                </c:pt>
                <c:pt idx="266">
                  <c:v>-17.043316979679467</c:v>
                </c:pt>
                <c:pt idx="267">
                  <c:v>-13.736954901375316</c:v>
                </c:pt>
                <c:pt idx="268">
                  <c:v>-16.815231230031571</c:v>
                </c:pt>
                <c:pt idx="269">
                  <c:v>-16.968462195597613</c:v>
                </c:pt>
                <c:pt idx="270">
                  <c:v>-21.123090891216208</c:v>
                </c:pt>
                <c:pt idx="271">
                  <c:v>-7.3897618688312692</c:v>
                </c:pt>
                <c:pt idx="272">
                  <c:v>-8.8737038816788711</c:v>
                </c:pt>
                <c:pt idx="273">
                  <c:v>-12.879566565385305</c:v>
                </c:pt>
                <c:pt idx="274">
                  <c:v>-14.45301767918752</c:v>
                </c:pt>
                <c:pt idx="275">
                  <c:v>-7.2039578188364839</c:v>
                </c:pt>
                <c:pt idx="276">
                  <c:v>-7.519421170793505</c:v>
                </c:pt>
                <c:pt idx="277">
                  <c:v>-13.141641483346671</c:v>
                </c:pt>
                <c:pt idx="278">
                  <c:v>-13.357666116844653</c:v>
                </c:pt>
                <c:pt idx="279">
                  <c:v>-17.806161290826601</c:v>
                </c:pt>
                <c:pt idx="280">
                  <c:v>-7.6951164624946964</c:v>
                </c:pt>
                <c:pt idx="281">
                  <c:v>-14.193744975089983</c:v>
                </c:pt>
                <c:pt idx="282">
                  <c:v>-28.959456079234855</c:v>
                </c:pt>
                <c:pt idx="283">
                  <c:v>-10.187285625951796</c:v>
                </c:pt>
                <c:pt idx="284">
                  <c:v>-9.7268220103953649</c:v>
                </c:pt>
                <c:pt idx="285">
                  <c:v>-19.233074224687364</c:v>
                </c:pt>
                <c:pt idx="286">
                  <c:v>-6.4727917952034684</c:v>
                </c:pt>
                <c:pt idx="287">
                  <c:v>#N/A</c:v>
                </c:pt>
                <c:pt idx="288">
                  <c:v>-14.664042609127918</c:v>
                </c:pt>
                <c:pt idx="289">
                  <c:v>-16.393908199707127</c:v>
                </c:pt>
                <c:pt idx="290">
                  <c:v>-9.2749344286625188</c:v>
                </c:pt>
                <c:pt idx="291">
                  <c:v>#N/A</c:v>
                </c:pt>
                <c:pt idx="292">
                  <c:v>-10.514062125089392</c:v>
                </c:pt>
                <c:pt idx="293">
                  <c:v>-15.787109714957133</c:v>
                </c:pt>
                <c:pt idx="294">
                  <c:v>-8.3433638877569116</c:v>
                </c:pt>
                <c:pt idx="295">
                  <c:v>-9.7639481131511268</c:v>
                </c:pt>
                <c:pt idx="296">
                  <c:v>-10.50072908113323</c:v>
                </c:pt>
                <c:pt idx="297">
                  <c:v>-10.808739106837265</c:v>
                </c:pt>
                <c:pt idx="298">
                  <c:v>-9.6309189279843679</c:v>
                </c:pt>
                <c:pt idx="299">
                  <c:v>-6.6457539471782123</c:v>
                </c:pt>
                <c:pt idx="300">
                  <c:v>-15.129646705242349</c:v>
                </c:pt>
                <c:pt idx="301">
                  <c:v>-13.862012641921689</c:v>
                </c:pt>
                <c:pt idx="302">
                  <c:v>-13.113073767494814</c:v>
                </c:pt>
                <c:pt idx="303">
                  <c:v>-14.344177260362571</c:v>
                </c:pt>
                <c:pt idx="304">
                  <c:v>-15.167163687431518</c:v>
                </c:pt>
                <c:pt idx="305">
                  <c:v>-14.15431680072223</c:v>
                </c:pt>
                <c:pt idx="306">
                  <c:v>-13.512172474798358</c:v>
                </c:pt>
                <c:pt idx="307">
                  <c:v>-15.837178718270073</c:v>
                </c:pt>
                <c:pt idx="308">
                  <c:v>-15.33595584825386</c:v>
                </c:pt>
                <c:pt idx="309">
                  <c:v>-15.498809837274489</c:v>
                </c:pt>
                <c:pt idx="310">
                  <c:v>-10.417672308462208</c:v>
                </c:pt>
                <c:pt idx="311">
                  <c:v>-10.34591866240163</c:v>
                </c:pt>
                <c:pt idx="312">
                  <c:v>#N/A</c:v>
                </c:pt>
                <c:pt idx="313">
                  <c:v>#N/A</c:v>
                </c:pt>
                <c:pt idx="315">
                  <c:v>#N/A</c:v>
                </c:pt>
                <c:pt idx="316">
                  <c:v>#N/A</c:v>
                </c:pt>
                <c:pt idx="317">
                  <c:v>#N/A</c:v>
                </c:pt>
                <c:pt idx="318">
                  <c:v>-11.83301926352658</c:v>
                </c:pt>
                <c:pt idx="319">
                  <c:v>-10.332082337148419</c:v>
                </c:pt>
                <c:pt idx="320">
                  <c:v>#N/A</c:v>
                </c:pt>
                <c:pt idx="321">
                  <c:v>#N/A</c:v>
                </c:pt>
                <c:pt idx="322">
                  <c:v>#N/A</c:v>
                </c:pt>
                <c:pt idx="323">
                  <c:v>-11.343213760721515</c:v>
                </c:pt>
                <c:pt idx="324">
                  <c:v>-7.5878865022083417</c:v>
                </c:pt>
                <c:pt idx="325">
                  <c:v>-7.6474460441959753</c:v>
                </c:pt>
                <c:pt idx="326">
                  <c:v>-6.0117902688393592</c:v>
                </c:pt>
                <c:pt idx="327">
                  <c:v>-5.6449864038578106</c:v>
                </c:pt>
                <c:pt idx="328">
                  <c:v>-9.5507279424330545</c:v>
                </c:pt>
                <c:pt idx="329">
                  <c:v>-11.096931948400817</c:v>
                </c:pt>
                <c:pt idx="330">
                  <c:v>-12.667288943278525</c:v>
                </c:pt>
                <c:pt idx="331">
                  <c:v>-8.7966955836628902</c:v>
                </c:pt>
                <c:pt idx="332">
                  <c:v>-10.463986160550832</c:v>
                </c:pt>
                <c:pt idx="333">
                  <c:v>-10.817775340053679</c:v>
                </c:pt>
                <c:pt idx="334">
                  <c:v>-11.688891826096263</c:v>
                </c:pt>
                <c:pt idx="335">
                  <c:v>#N/A</c:v>
                </c:pt>
                <c:pt idx="336">
                  <c:v>-9.9157677544769616</c:v>
                </c:pt>
                <c:pt idx="337">
                  <c:v>-11.076456053157226</c:v>
                </c:pt>
                <c:pt idx="338">
                  <c:v>-11.612604380207227</c:v>
                </c:pt>
                <c:pt idx="339">
                  <c:v>-21.398745600181183</c:v>
                </c:pt>
                <c:pt idx="340">
                  <c:v>#N/A</c:v>
                </c:pt>
                <c:pt idx="341">
                  <c:v>-15.951123650757086</c:v>
                </c:pt>
                <c:pt idx="342">
                  <c:v>-13.357666116844653</c:v>
                </c:pt>
                <c:pt idx="343">
                  <c:v>-15.123994331121137</c:v>
                </c:pt>
                <c:pt idx="344">
                  <c:v>#N/A</c:v>
                </c:pt>
                <c:pt idx="345">
                  <c:v>-9.2532563623628032</c:v>
                </c:pt>
                <c:pt idx="346">
                  <c:v>-19.00941864265257</c:v>
                </c:pt>
                <c:pt idx="347">
                  <c:v>-14.186501046389131</c:v>
                </c:pt>
                <c:pt idx="348">
                  <c:v>-9.8230440030192305</c:v>
                </c:pt>
                <c:pt idx="349">
                  <c:v>-6.03886261674851</c:v>
                </c:pt>
                <c:pt idx="352">
                  <c:v>-4.094547452331053</c:v>
                </c:pt>
                <c:pt idx="353">
                  <c:v>#N/A</c:v>
                </c:pt>
                <c:pt idx="354">
                  <c:v>-4.8994921832480705</c:v>
                </c:pt>
                <c:pt idx="355">
                  <c:v>-3.9613642453455551</c:v>
                </c:pt>
                <c:pt idx="356">
                  <c:v>#N/A</c:v>
                </c:pt>
                <c:pt idx="357">
                  <c:v>-2.4086342478162655</c:v>
                </c:pt>
                <c:pt idx="358">
                  <c:v>-5.2481096468721091</c:v>
                </c:pt>
                <c:pt idx="359">
                  <c:v>-11.98730543677488</c:v>
                </c:pt>
                <c:pt idx="360">
                  <c:v>-5.9667407982629594</c:v>
                </c:pt>
                <c:pt idx="361">
                  <c:v>-10.937141948757994</c:v>
                </c:pt>
                <c:pt idx="362">
                  <c:v>-11.602530089138416</c:v>
                </c:pt>
                <c:pt idx="363">
                  <c:v>-8.2761426203294608</c:v>
                </c:pt>
                <c:pt idx="364">
                  <c:v>#N/A</c:v>
                </c:pt>
                <c:pt idx="365">
                  <c:v>-8.328343935472228</c:v>
                </c:pt>
                <c:pt idx="366">
                  <c:v>-16.392763093878802</c:v>
                </c:pt>
                <c:pt idx="367">
                  <c:v>-12.15649197065876</c:v>
                </c:pt>
                <c:pt idx="368">
                  <c:v>-12.860149231689942</c:v>
                </c:pt>
                <c:pt idx="369">
                  <c:v>-8.465946019152339</c:v>
                </c:pt>
                <c:pt idx="370">
                  <c:v>-8.9524292804875962</c:v>
                </c:pt>
                <c:pt idx="371">
                  <c:v>-15.67175637009999</c:v>
                </c:pt>
                <c:pt idx="372">
                  <c:v>-15.489128156219582</c:v>
                </c:pt>
                <c:pt idx="373">
                  <c:v>-17.642975861194479</c:v>
                </c:pt>
                <c:pt idx="374">
                  <c:v>-12.343883032243383</c:v>
                </c:pt>
                <c:pt idx="375">
                  <c:v>-10.830495252801532</c:v>
                </c:pt>
                <c:pt idx="376">
                  <c:v>-10.121706208366927</c:v>
                </c:pt>
                <c:pt idx="377">
                  <c:v>-10.661977739377562</c:v>
                </c:pt>
                <c:pt idx="378">
                  <c:v>-11.227898218635207</c:v>
                </c:pt>
                <c:pt idx="379">
                  <c:v>-10.309010243484835</c:v>
                </c:pt>
                <c:pt idx="380">
                  <c:v>-9.8887958448234929</c:v>
                </c:pt>
                <c:pt idx="381">
                  <c:v>-9.6712598737042512</c:v>
                </c:pt>
                <c:pt idx="382">
                  <c:v>-9.8654348854261045</c:v>
                </c:pt>
                <c:pt idx="383">
                  <c:v>-3.6953060228065877</c:v>
                </c:pt>
                <c:pt idx="384">
                  <c:v>-8.4706153277240865</c:v>
                </c:pt>
                <c:pt idx="385">
                  <c:v>-7.0799047199092513</c:v>
                </c:pt>
                <c:pt idx="386">
                  <c:v>-6.4499457430511002</c:v>
                </c:pt>
                <c:pt idx="387">
                  <c:v>-11.623307977086791</c:v>
                </c:pt>
                <c:pt idx="388">
                  <c:v>-13.736954901375316</c:v>
                </c:pt>
                <c:pt idx="389">
                  <c:v>-5.54849210553534</c:v>
                </c:pt>
                <c:pt idx="390">
                  <c:v>-8.9489161947501525</c:v>
                </c:pt>
                <c:pt idx="391">
                  <c:v>-9.7017792295956475</c:v>
                </c:pt>
                <c:pt idx="392">
                  <c:v>-9.8076566634716986</c:v>
                </c:pt>
                <c:pt idx="393">
                  <c:v>-17.694380195274398</c:v>
                </c:pt>
                <c:pt idx="394">
                  <c:v>-11.046095502896986</c:v>
                </c:pt>
                <c:pt idx="395">
                  <c:v>-7.8551487916743357</c:v>
                </c:pt>
                <c:pt idx="396">
                  <c:v>-15.064491680364261</c:v>
                </c:pt>
                <c:pt idx="397">
                  <c:v>-14.938550091394095</c:v>
                </c:pt>
                <c:pt idx="398">
                  <c:v>-14.8304948604701</c:v>
                </c:pt>
                <c:pt idx="399">
                  <c:v>-14.449407990006748</c:v>
                </c:pt>
                <c:pt idx="400">
                  <c:v>-14.447299002690899</c:v>
                </c:pt>
                <c:pt idx="401">
                  <c:v>-12.093438156337752</c:v>
                </c:pt>
                <c:pt idx="402">
                  <c:v>-13.091631930653172</c:v>
                </c:pt>
                <c:pt idx="403">
                  <c:v>-4.595979323413693</c:v>
                </c:pt>
                <c:pt idx="404">
                  <c:v>-11.706731366024121</c:v>
                </c:pt>
                <c:pt idx="405">
                  <c:v>-13.121107120997275</c:v>
                </c:pt>
                <c:pt idx="406">
                  <c:v>-9.1053612734913703</c:v>
                </c:pt>
                <c:pt idx="407">
                  <c:v>-15.776951342637858</c:v>
                </c:pt>
                <c:pt idx="408">
                  <c:v>-14.193744975089983</c:v>
                </c:pt>
                <c:pt idx="409">
                  <c:v>-10.531163523304157</c:v>
                </c:pt>
                <c:pt idx="410">
                  <c:v>-5.3131951941449502</c:v>
                </c:pt>
                <c:pt idx="411">
                  <c:v>-12.962491874079898</c:v>
                </c:pt>
                <c:pt idx="412">
                  <c:v>-8.0776157918359139</c:v>
                </c:pt>
                <c:pt idx="413">
                  <c:v>-8.2860537074411873</c:v>
                </c:pt>
                <c:pt idx="414">
                  <c:v>-7.6131535228034357</c:v>
                </c:pt>
                <c:pt idx="415">
                  <c:v>-10.187285625951796</c:v>
                </c:pt>
                <c:pt idx="416">
                  <c:v>-9.7268220103953649</c:v>
                </c:pt>
                <c:pt idx="417">
                  <c:v>-12.488707955345305</c:v>
                </c:pt>
                <c:pt idx="418">
                  <c:v>-12.339602362094354</c:v>
                </c:pt>
                <c:pt idx="419">
                  <c:v>-9.3864977165615677</c:v>
                </c:pt>
                <c:pt idx="420">
                  <c:v>#N/A</c:v>
                </c:pt>
                <c:pt idx="421">
                  <c:v>-15.896324351843685</c:v>
                </c:pt>
                <c:pt idx="422">
                  <c:v>#N/A</c:v>
                </c:pt>
                <c:pt idx="423">
                  <c:v>#N/A</c:v>
                </c:pt>
                <c:pt idx="424">
                  <c:v>-9.9168547869594157</c:v>
                </c:pt>
                <c:pt idx="425">
                  <c:v>-11.805682075609466</c:v>
                </c:pt>
                <c:pt idx="426">
                  <c:v>-19.866973267940299</c:v>
                </c:pt>
                <c:pt idx="427">
                  <c:v>-19.982741146836819</c:v>
                </c:pt>
                <c:pt idx="428">
                  <c:v>-16.628424991531947</c:v>
                </c:pt>
                <c:pt idx="429">
                  <c:v>-10.818635081584809</c:v>
                </c:pt>
                <c:pt idx="430">
                  <c:v>-8.5204067919464492</c:v>
                </c:pt>
                <c:pt idx="431">
                  <c:v>-11.68082633930478</c:v>
                </c:pt>
                <c:pt idx="432">
                  <c:v>-3.5196111433911548</c:v>
                </c:pt>
                <c:pt idx="433">
                  <c:v>#N/A</c:v>
                </c:pt>
                <c:pt idx="434">
                  <c:v>-0.274957440135847</c:v>
                </c:pt>
                <c:pt idx="435">
                  <c:v>-8.5554501651100274</c:v>
                </c:pt>
                <c:pt idx="436">
                  <c:v>-5.3126715092488661</c:v>
                </c:pt>
                <c:pt idx="437">
                  <c:v>-5.0118776386640524</c:v>
                </c:pt>
                <c:pt idx="438">
                  <c:v>#N/A</c:v>
                </c:pt>
                <c:pt idx="439">
                  <c:v>#N/A</c:v>
                </c:pt>
                <c:pt idx="440">
                  <c:v>-14.784425871277145</c:v>
                </c:pt>
                <c:pt idx="441">
                  <c:v>-4.1698822141716034</c:v>
                </c:pt>
                <c:pt idx="442">
                  <c:v>-13.27359780564397</c:v>
                </c:pt>
                <c:pt idx="443">
                  <c:v>-13.080779924920584</c:v>
                </c:pt>
                <c:pt idx="444">
                  <c:v>-12.385472272505169</c:v>
                </c:pt>
                <c:pt idx="445">
                  <c:v>-15.074627583874003</c:v>
                </c:pt>
                <c:pt idx="446">
                  <c:v>-13.350601771318967</c:v>
                </c:pt>
                <c:pt idx="447">
                  <c:v>-6.9382894445527654</c:v>
                </c:pt>
                <c:pt idx="448">
                  <c:v>-9.3389320545535952</c:v>
                </c:pt>
                <c:pt idx="449">
                  <c:v>-15.77098064985014</c:v>
                </c:pt>
                <c:pt idx="450">
                  <c:v>-17.52050629137657</c:v>
                </c:pt>
                <c:pt idx="451">
                  <c:v>-8.6877213936395705</c:v>
                </c:pt>
                <c:pt idx="452">
                  <c:v>-7.3231016131240914</c:v>
                </c:pt>
                <c:pt idx="453">
                  <c:v>-5.2241342539041122</c:v>
                </c:pt>
                <c:pt idx="454">
                  <c:v>-17.400977913757533</c:v>
                </c:pt>
                <c:pt idx="455">
                  <c:v>-13.516075305077095</c:v>
                </c:pt>
                <c:pt idx="456">
                  <c:v>-10.986351601347167</c:v>
                </c:pt>
                <c:pt idx="457">
                  <c:v>-9.6919479839031677</c:v>
                </c:pt>
                <c:pt idx="458">
                  <c:v>-8.1699473105473821</c:v>
                </c:pt>
                <c:pt idx="459">
                  <c:v>#N/A</c:v>
                </c:pt>
                <c:pt idx="461">
                  <c:v>-9.6738000859145519</c:v>
                </c:pt>
                <c:pt idx="462">
                  <c:v>-16.680284520186333</c:v>
                </c:pt>
                <c:pt idx="463">
                  <c:v>#N/A</c:v>
                </c:pt>
                <c:pt idx="464">
                  <c:v>-7.9559701751716654</c:v>
                </c:pt>
                <c:pt idx="465">
                  <c:v>-4.1475221668502602</c:v>
                </c:pt>
                <c:pt idx="466">
                  <c:v>-14.818879676814658</c:v>
                </c:pt>
                <c:pt idx="467">
                  <c:v>-13.478190804109097</c:v>
                </c:pt>
                <c:pt idx="468">
                  <c:v>-12.609354461274636</c:v>
                </c:pt>
                <c:pt idx="469">
                  <c:v>-5.579164853081183</c:v>
                </c:pt>
                <c:pt idx="470">
                  <c:v>-5.9570807405879744</c:v>
                </c:pt>
                <c:pt idx="471">
                  <c:v>-12.281175909119803</c:v>
                </c:pt>
                <c:pt idx="472">
                  <c:v>-6.1319280975526915</c:v>
                </c:pt>
                <c:pt idx="473">
                  <c:v>-5.3239698321516151</c:v>
                </c:pt>
                <c:pt idx="474">
                  <c:v>-13.629055692923915</c:v>
                </c:pt>
                <c:pt idx="475">
                  <c:v>-5.2200250995638342</c:v>
                </c:pt>
                <c:pt idx="476">
                  <c:v>-8.648388547549688</c:v>
                </c:pt>
                <c:pt idx="477">
                  <c:v>-7.1222279982147754</c:v>
                </c:pt>
                <c:pt idx="478">
                  <c:v>-5.4346692967104602</c:v>
                </c:pt>
                <c:pt idx="479">
                  <c:v>-5.7907722123626204</c:v>
                </c:pt>
                <c:pt idx="480">
                  <c:v>#N/A</c:v>
                </c:pt>
                <c:pt idx="481">
                  <c:v>-7.4029705994090182</c:v>
                </c:pt>
                <c:pt idx="482">
                  <c:v>-9.3831346746783435</c:v>
                </c:pt>
                <c:pt idx="483">
                  <c:v>-8.1895546234221968</c:v>
                </c:pt>
                <c:pt idx="484">
                  <c:v>-8.4912847702215437</c:v>
                </c:pt>
                <c:pt idx="485">
                  <c:v>-8.6013023065401821</c:v>
                </c:pt>
                <c:pt idx="486">
                  <c:v>-8.0016927240791738</c:v>
                </c:pt>
                <c:pt idx="487">
                  <c:v>-5.4414218581961844</c:v>
                </c:pt>
                <c:pt idx="488">
                  <c:v>-18.57622988818293</c:v>
                </c:pt>
                <c:pt idx="489">
                  <c:v>-4.4637461424081151</c:v>
                </c:pt>
                <c:pt idx="490">
                  <c:v>-7.8003281495511576</c:v>
                </c:pt>
                <c:pt idx="491">
                  <c:v>-5.1763952008125091</c:v>
                </c:pt>
                <c:pt idx="492">
                  <c:v>-6.8174683931124447</c:v>
                </c:pt>
                <c:pt idx="493">
                  <c:v>-10.729486808278367</c:v>
                </c:pt>
                <c:pt idx="494">
                  <c:v>-9.4000158421190232</c:v>
                </c:pt>
                <c:pt idx="495">
                  <c:v>-12.240825463625448</c:v>
                </c:pt>
                <c:pt idx="496">
                  <c:v>-14.664042609127918</c:v>
                </c:pt>
                <c:pt idx="497">
                  <c:v>-4.6170110728997287</c:v>
                </c:pt>
                <c:pt idx="498">
                  <c:v>-18.672330053407073</c:v>
                </c:pt>
                <c:pt idx="499">
                  <c:v>-16.314001092193553</c:v>
                </c:pt>
                <c:pt idx="500">
                  <c:v>-14.887824995512094</c:v>
                </c:pt>
                <c:pt idx="501">
                  <c:v>-9.3704559344617913</c:v>
                </c:pt>
                <c:pt idx="502">
                  <c:v>#N/A</c:v>
                </c:pt>
                <c:pt idx="503">
                  <c:v>-8.1434150480346315</c:v>
                </c:pt>
                <c:pt idx="504">
                  <c:v>-9.2033933612147436</c:v>
                </c:pt>
                <c:pt idx="505">
                  <c:v>-7.8089087799355026</c:v>
                </c:pt>
                <c:pt idx="506">
                  <c:v>-9.8177321065092578</c:v>
                </c:pt>
                <c:pt idx="507">
                  <c:v>-10.608777938185089</c:v>
                </c:pt>
                <c:pt idx="508">
                  <c:v>-8.7947068548594789</c:v>
                </c:pt>
                <c:pt idx="509">
                  <c:v>-13.535004680216955</c:v>
                </c:pt>
                <c:pt idx="510">
                  <c:v>-13.984718608268302</c:v>
                </c:pt>
                <c:pt idx="511">
                  <c:v>-15.62744625047509</c:v>
                </c:pt>
                <c:pt idx="512">
                  <c:v>-11.343578608401405</c:v>
                </c:pt>
                <c:pt idx="513">
                  <c:v>-11.764773297685895</c:v>
                </c:pt>
                <c:pt idx="514">
                  <c:v>#N/A</c:v>
                </c:pt>
                <c:pt idx="515">
                  <c:v>#N/A</c:v>
                </c:pt>
                <c:pt idx="516">
                  <c:v>#N/A</c:v>
                </c:pt>
                <c:pt idx="517">
                  <c:v>-6.2778116447416394</c:v>
                </c:pt>
                <c:pt idx="518">
                  <c:v>-9.582512656498789</c:v>
                </c:pt>
                <c:pt idx="519">
                  <c:v>-7.5896738897841844</c:v>
                </c:pt>
                <c:pt idx="520">
                  <c:v>-11.807299922721192</c:v>
                </c:pt>
                <c:pt idx="521">
                  <c:v>-10.416137088062129</c:v>
                </c:pt>
                <c:pt idx="522">
                  <c:v>-8.3451400752598062</c:v>
                </c:pt>
                <c:pt idx="523">
                  <c:v>-13.937923809696329</c:v>
                </c:pt>
                <c:pt idx="524">
                  <c:v>-15.523743538314612</c:v>
                </c:pt>
                <c:pt idx="525">
                  <c:v>-12.991857498066608</c:v>
                </c:pt>
                <c:pt idx="526">
                  <c:v>-15.751091676826096</c:v>
                </c:pt>
                <c:pt idx="527">
                  <c:v>-8.055985736822544</c:v>
                </c:pt>
                <c:pt idx="528">
                  <c:v>-16.365786184995606</c:v>
                </c:pt>
                <c:pt idx="529">
                  <c:v>-8.3755088329716934</c:v>
                </c:pt>
                <c:pt idx="530">
                  <c:v>-16.256626868824444</c:v>
                </c:pt>
                <c:pt idx="531">
                  <c:v>-17.242345075909874</c:v>
                </c:pt>
                <c:pt idx="532">
                  <c:v>-13.154454923766364</c:v>
                </c:pt>
                <c:pt idx="535">
                  <c:v>-13.583317658915627</c:v>
                </c:pt>
                <c:pt idx="536">
                  <c:v>-9.2129659035488505</c:v>
                </c:pt>
                <c:pt idx="537">
                  <c:v>-10.629923936532304</c:v>
                </c:pt>
                <c:pt idx="538">
                  <c:v>-15.098910422776171</c:v>
                </c:pt>
                <c:pt idx="539">
                  <c:v>-5.038103232992122</c:v>
                </c:pt>
                <c:pt idx="540">
                  <c:v>-9.563167553155882</c:v>
                </c:pt>
                <c:pt idx="541">
                  <c:v>-11.918203877952196</c:v>
                </c:pt>
                <c:pt idx="542">
                  <c:v>-10.332275204615396</c:v>
                </c:pt>
                <c:pt idx="543">
                  <c:v>-12.559011986296319</c:v>
                </c:pt>
                <c:pt idx="544">
                  <c:v>-6.6079759655042531</c:v>
                </c:pt>
                <c:pt idx="545">
                  <c:v>#N/A</c:v>
                </c:pt>
                <c:pt idx="546">
                  <c:v>-9.8785301365632705</c:v>
                </c:pt>
                <c:pt idx="547">
                  <c:v>-16.514669991604475</c:v>
                </c:pt>
                <c:pt idx="548">
                  <c:v>-17.840148242325292</c:v>
                </c:pt>
                <c:pt idx="549">
                  <c:v>-6.8356467543610409</c:v>
                </c:pt>
                <c:pt idx="550">
                  <c:v>-6.0226055938282457</c:v>
                </c:pt>
                <c:pt idx="551">
                  <c:v>-11.498901694033393</c:v>
                </c:pt>
                <c:pt idx="552">
                  <c:v>-5.2227735497809959</c:v>
                </c:pt>
                <c:pt idx="553">
                  <c:v>-6.1154049632596088</c:v>
                </c:pt>
                <c:pt idx="554">
                  <c:v>#N/A</c:v>
                </c:pt>
                <c:pt idx="555">
                  <c:v>-7.2792289335851423</c:v>
                </c:pt>
                <c:pt idx="556">
                  <c:v>-9.0142348303468829</c:v>
                </c:pt>
                <c:pt idx="557">
                  <c:v>-16.847481949299919</c:v>
                </c:pt>
                <c:pt idx="558">
                  <c:v>-11.31137772811751</c:v>
                </c:pt>
                <c:pt idx="559">
                  <c:v>-11.459665634127102</c:v>
                </c:pt>
                <c:pt idx="560">
                  <c:v>-11.773152249880738</c:v>
                </c:pt>
                <c:pt idx="561">
                  <c:v>-10.084370073706786</c:v>
                </c:pt>
                <c:pt idx="562">
                  <c:v>-4.5182187589562215</c:v>
                </c:pt>
                <c:pt idx="563">
                  <c:v>-7.2899258715668527</c:v>
                </c:pt>
                <c:pt idx="564">
                  <c:v>-5.2758329636662431</c:v>
                </c:pt>
                <c:pt idx="565">
                  <c:v>-7.4017218236837081</c:v>
                </c:pt>
                <c:pt idx="566">
                  <c:v>-11.438537335717365</c:v>
                </c:pt>
                <c:pt idx="567">
                  <c:v>-14.317762387582304</c:v>
                </c:pt>
                <c:pt idx="568">
                  <c:v>#N/A</c:v>
                </c:pt>
                <c:pt idx="569">
                  <c:v>-7.1005326359891816</c:v>
                </c:pt>
                <c:pt idx="570">
                  <c:v>-14.36067274087412</c:v>
                </c:pt>
                <c:pt idx="571">
                  <c:v>-8.7930259083168814</c:v>
                </c:pt>
                <c:pt idx="572">
                  <c:v>-3.2869799713441221</c:v>
                </c:pt>
                <c:pt idx="573">
                  <c:v>-7.3861633446749728</c:v>
                </c:pt>
                <c:pt idx="574">
                  <c:v>-10.723159301981728</c:v>
                </c:pt>
                <c:pt idx="575">
                  <c:v>-5.1517223121516986</c:v>
                </c:pt>
                <c:pt idx="576">
                  <c:v>-4.5256235408815435</c:v>
                </c:pt>
                <c:pt idx="577">
                  <c:v>-17.026937971005058</c:v>
                </c:pt>
                <c:pt idx="578">
                  <c:v>-18.105742931492284</c:v>
                </c:pt>
                <c:pt idx="579">
                  <c:v>-18.028199741120567</c:v>
                </c:pt>
                <c:pt idx="580">
                  <c:v>-4.0338213038051087</c:v>
                </c:pt>
                <c:pt idx="581">
                  <c:v>-8.8471651574072858</c:v>
                </c:pt>
                <c:pt idx="582">
                  <c:v>-7.4751623906703397</c:v>
                </c:pt>
                <c:pt idx="583">
                  <c:v>-8.8519645088332783</c:v>
                </c:pt>
                <c:pt idx="584">
                  <c:v>#N/A</c:v>
                </c:pt>
                <c:pt idx="585">
                  <c:v>-10.671959969790798</c:v>
                </c:pt>
                <c:pt idx="586">
                  <c:v>-15.705210368101044</c:v>
                </c:pt>
                <c:pt idx="587">
                  <c:v>-5.9019822329818421</c:v>
                </c:pt>
                <c:pt idx="588">
                  <c:v>-2.1062307159921008</c:v>
                </c:pt>
                <c:pt idx="589">
                  <c:v>-5.5984862536561115</c:v>
                </c:pt>
                <c:pt idx="590">
                  <c:v>-12.294280483161383</c:v>
                </c:pt>
                <c:pt idx="591">
                  <c:v>-7.5454388669536812</c:v>
                </c:pt>
                <c:pt idx="592">
                  <c:v>-13.104772661242107</c:v>
                </c:pt>
                <c:pt idx="593">
                  <c:v>-7.1786783591420029</c:v>
                </c:pt>
                <c:pt idx="594">
                  <c:v>-9.4565252279567282</c:v>
                </c:pt>
                <c:pt idx="595">
                  <c:v>-3.3920197160118475</c:v>
                </c:pt>
                <c:pt idx="596">
                  <c:v>-11.036177749229001</c:v>
                </c:pt>
                <c:pt idx="597">
                  <c:v>-10.393466536486397</c:v>
                </c:pt>
                <c:pt idx="598">
                  <c:v>-7.7868830692037729</c:v>
                </c:pt>
                <c:pt idx="599">
                  <c:v>-14.246010144617699</c:v>
                </c:pt>
                <c:pt idx="600">
                  <c:v>-12.542490317249587</c:v>
                </c:pt>
                <c:pt idx="601">
                  <c:v>-12.005761148920486</c:v>
                </c:pt>
                <c:pt idx="602">
                  <c:v>-14.387693328242865</c:v>
                </c:pt>
                <c:pt idx="603">
                  <c:v>-15.025441728784681</c:v>
                </c:pt>
                <c:pt idx="604">
                  <c:v>-19.671419677357356</c:v>
                </c:pt>
                <c:pt idx="605">
                  <c:v>-19.691127631469744</c:v>
                </c:pt>
                <c:pt idx="606">
                  <c:v>-10.387932205636154</c:v>
                </c:pt>
                <c:pt idx="607">
                  <c:v>#N/A</c:v>
                </c:pt>
                <c:pt idx="608">
                  <c:v>-4.8533679923781552</c:v>
                </c:pt>
                <c:pt idx="609">
                  <c:v>-7.2013712560210994</c:v>
                </c:pt>
                <c:pt idx="610">
                  <c:v>-13.306291240143068</c:v>
                </c:pt>
                <c:pt idx="611">
                  <c:v>-11.563947819855132</c:v>
                </c:pt>
                <c:pt idx="612">
                  <c:v>-14.325869643823008</c:v>
                </c:pt>
                <c:pt idx="613">
                  <c:v>-7.4948143806793954</c:v>
                </c:pt>
                <c:pt idx="614">
                  <c:v>-9.5692360142604329</c:v>
                </c:pt>
                <c:pt idx="615">
                  <c:v>-7.7318205329466396</c:v>
                </c:pt>
                <c:pt idx="616">
                  <c:v>-9.9626873041244988</c:v>
                </c:pt>
                <c:pt idx="617">
                  <c:v>-5.3081127595305304</c:v>
                </c:pt>
                <c:pt idx="618">
                  <c:v>-9.2749567524931962</c:v>
                </c:pt>
                <c:pt idx="619">
                  <c:v>-8.7953828944603334</c:v>
                </c:pt>
                <c:pt idx="620">
                  <c:v>-6.457934656507307</c:v>
                </c:pt>
                <c:pt idx="621">
                  <c:v>-8.3388162106455006</c:v>
                </c:pt>
                <c:pt idx="622">
                  <c:v>-8.7286330465582989</c:v>
                </c:pt>
                <c:pt idx="623">
                  <c:v>-8.531698832806228</c:v>
                </c:pt>
                <c:pt idx="624">
                  <c:v>-17.277539781154658</c:v>
                </c:pt>
                <c:pt idx="625">
                  <c:v>-13.152353687072919</c:v>
                </c:pt>
                <c:pt idx="626">
                  <c:v>-6.6802975683249572</c:v>
                </c:pt>
                <c:pt idx="627">
                  <c:v>-3.9823466081184522</c:v>
                </c:pt>
                <c:pt idx="628">
                  <c:v>-3.9474687185347603</c:v>
                </c:pt>
                <c:pt idx="629">
                  <c:v>-10.452629617301419</c:v>
                </c:pt>
                <c:pt idx="630">
                  <c:v>-7.3887762410874913</c:v>
                </c:pt>
                <c:pt idx="631">
                  <c:v>-8.6779331970876434</c:v>
                </c:pt>
                <c:pt idx="632">
                  <c:v>-4.5945189886715871</c:v>
                </c:pt>
                <c:pt idx="633">
                  <c:v>-4.8274131949600907</c:v>
                </c:pt>
                <c:pt idx="634">
                  <c:v>-6.3436951418218275</c:v>
                </c:pt>
                <c:pt idx="635">
                  <c:v>-4.4558871739176062</c:v>
                </c:pt>
                <c:pt idx="636">
                  <c:v>-4.6633292572099512</c:v>
                </c:pt>
                <c:pt idx="637">
                  <c:v>-10.313796578832257</c:v>
                </c:pt>
                <c:pt idx="638">
                  <c:v>-11.077290932532827</c:v>
                </c:pt>
                <c:pt idx="639">
                  <c:v>-3.5299600803190687</c:v>
                </c:pt>
                <c:pt idx="640">
                  <c:v>-11.292326922132796</c:v>
                </c:pt>
                <c:pt idx="641">
                  <c:v>-10.733120920887758</c:v>
                </c:pt>
                <c:pt idx="642">
                  <c:v>-19.730408362856465</c:v>
                </c:pt>
                <c:pt idx="643">
                  <c:v>-9.6495020842818739</c:v>
                </c:pt>
                <c:pt idx="644">
                  <c:v>-8.6657370872093828</c:v>
                </c:pt>
                <c:pt idx="645">
                  <c:v>-9.3684154601471104</c:v>
                </c:pt>
                <c:pt idx="646">
                  <c:v>-9.3940578578071587</c:v>
                </c:pt>
                <c:pt idx="647">
                  <c:v>-4.1663251696601229</c:v>
                </c:pt>
                <c:pt idx="648">
                  <c:v>#N/A</c:v>
                </c:pt>
                <c:pt idx="649">
                  <c:v>-7.1493651231252695</c:v>
                </c:pt>
                <c:pt idx="650">
                  <c:v>-9.2049855499069331</c:v>
                </c:pt>
                <c:pt idx="651">
                  <c:v>-8.609680833353087</c:v>
                </c:pt>
                <c:pt idx="652">
                  <c:v>-10.029578022597805</c:v>
                </c:pt>
                <c:pt idx="653">
                  <c:v>-7.5342038329602756</c:v>
                </c:pt>
                <c:pt idx="654">
                  <c:v>-17.37773082786164</c:v>
                </c:pt>
                <c:pt idx="655">
                  <c:v>-5.3360004482836789</c:v>
                </c:pt>
                <c:pt idx="656">
                  <c:v>-5.9455388034359897</c:v>
                </c:pt>
                <c:pt idx="657">
                  <c:v>-6.0445784554993915</c:v>
                </c:pt>
                <c:pt idx="658">
                  <c:v>-7.4601219511730275</c:v>
                </c:pt>
                <c:pt idx="659">
                  <c:v>-8.6401952758101999</c:v>
                </c:pt>
                <c:pt idx="660">
                  <c:v>-10.198279502049491</c:v>
                </c:pt>
                <c:pt idx="661">
                  <c:v>-7.4447932795419032</c:v>
                </c:pt>
                <c:pt idx="662">
                  <c:v>-9.9073117242467745</c:v>
                </c:pt>
                <c:pt idx="663">
                  <c:v>-13.738577557521328</c:v>
                </c:pt>
                <c:pt idx="664">
                  <c:v>-4.9461393966861511</c:v>
                </c:pt>
                <c:pt idx="665">
                  <c:v>-3.7992930312979869</c:v>
                </c:pt>
                <c:pt idx="666">
                  <c:v>-2.8317179437802795</c:v>
                </c:pt>
                <c:pt idx="667">
                  <c:v>-7.489297088460324</c:v>
                </c:pt>
                <c:pt idx="668">
                  <c:v>-6.7004666652480491</c:v>
                </c:pt>
                <c:pt idx="669">
                  <c:v>-13.00813455128765</c:v>
                </c:pt>
                <c:pt idx="670">
                  <c:v>-9.9924051780354226</c:v>
                </c:pt>
                <c:pt idx="671">
                  <c:v>-9.7167856108365669</c:v>
                </c:pt>
                <c:pt idx="672">
                  <c:v>-10.682431535462641</c:v>
                </c:pt>
                <c:pt idx="673">
                  <c:v>-5.7732368884701462</c:v>
                </c:pt>
                <c:pt idx="674">
                  <c:v>-7.6602999317078462</c:v>
                </c:pt>
                <c:pt idx="675">
                  <c:v>-12.715872417451942</c:v>
                </c:pt>
                <c:pt idx="676">
                  <c:v>-10.797668399181973</c:v>
                </c:pt>
                <c:pt idx="677">
                  <c:v>-5.9261658116803755</c:v>
                </c:pt>
                <c:pt idx="678">
                  <c:v>-13.411486228040381</c:v>
                </c:pt>
                <c:pt idx="679">
                  <c:v>-21.054324007939105</c:v>
                </c:pt>
                <c:pt idx="680">
                  <c:v>-2.1499936132305346</c:v>
                </c:pt>
                <c:pt idx="681">
                  <c:v>-17.701667815789772</c:v>
                </c:pt>
                <c:pt idx="682">
                  <c:v>-30.076572924728278</c:v>
                </c:pt>
                <c:pt idx="683">
                  <c:v>-4.071985464808872</c:v>
                </c:pt>
                <c:pt idx="684">
                  <c:v>-8.8465668377590951</c:v>
                </c:pt>
              </c:numCache>
            </c:numRef>
          </c:yVal>
          <c:smooth val="0"/>
          <c:extLst>
            <c:ext xmlns:c16="http://schemas.microsoft.com/office/drawing/2014/chart" uri="{C3380CC4-5D6E-409C-BE32-E72D297353CC}">
              <c16:uniqueId val="{00000000-4705-42B3-839C-C8A3A4021A82}"/>
            </c:ext>
          </c:extLst>
        </c:ser>
        <c:ser>
          <c:idx val="1"/>
          <c:order val="1"/>
          <c:tx>
            <c:v>Limit</c:v>
          </c:tx>
          <c:spPr>
            <a:ln w="38100" cap="rnd">
              <a:solidFill>
                <a:srgbClr val="FF0000"/>
              </a:solidFill>
              <a:prstDash val="dash"/>
              <a:round/>
            </a:ln>
            <a:effectLst/>
          </c:spPr>
          <c:marker>
            <c:symbol val="none"/>
          </c:marker>
          <c:xVal>
            <c:numRef>
              <c:f>Limits!$F$3:$F$4</c:f>
              <c:numCache>
                <c:formatCode>General</c:formatCode>
                <c:ptCount val="2"/>
                <c:pt idx="0">
                  <c:v>5.0000000000000001E-3</c:v>
                </c:pt>
                <c:pt idx="1">
                  <c:v>75</c:v>
                </c:pt>
              </c:numCache>
            </c:numRef>
          </c:xVal>
          <c:yVal>
            <c:numRef>
              <c:f>Limits!$G$3:$G$4</c:f>
              <c:numCache>
                <c:formatCode>General</c:formatCode>
                <c:ptCount val="2"/>
                <c:pt idx="0">
                  <c:v>-3.6906998988262272</c:v>
                </c:pt>
                <c:pt idx="1">
                  <c:v>10.229604298026043</c:v>
                </c:pt>
              </c:numCache>
            </c:numRef>
          </c:yVal>
          <c:smooth val="0"/>
          <c:extLst>
            <c:ext xmlns:c16="http://schemas.microsoft.com/office/drawing/2014/chart" uri="{C3380CC4-5D6E-409C-BE32-E72D297353CC}">
              <c16:uniqueId val="{00000001-4705-42B3-839C-C8A3A4021A82}"/>
            </c:ext>
          </c:extLst>
        </c:ser>
        <c:dLbls>
          <c:showLegendKey val="0"/>
          <c:showVal val="0"/>
          <c:showCatName val="0"/>
          <c:showSerName val="0"/>
          <c:showPercent val="0"/>
          <c:showBubbleSize val="0"/>
        </c:dLbls>
        <c:axId val="393663008"/>
        <c:axId val="393608432"/>
      </c:scatterChart>
      <c:valAx>
        <c:axId val="393663008"/>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Bandwidth, GHz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3608432"/>
        <c:crossesAt val="0"/>
        <c:crossBetween val="midCat"/>
      </c:valAx>
      <c:valAx>
        <c:axId val="393608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FOM_S (dB)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3663008"/>
        <c:crossesAt val="1.0000000000000002E-3"/>
        <c:crossBetween val="midCat"/>
      </c:valAx>
      <c:spPr>
        <a:noFill/>
        <a:ln>
          <a:noFill/>
        </a:ln>
        <a:effectLst/>
      </c:spPr>
    </c:plotArea>
    <c:legend>
      <c:legendPos val="r"/>
      <c:layout>
        <c:manualLayout>
          <c:xMode val="edge"/>
          <c:yMode val="edge"/>
          <c:x val="0.69390804724970334"/>
          <c:y val="4.8195037893613124E-2"/>
          <c:w val="0.12738772105623497"/>
          <c:h val="6.8111729627763365E-2"/>
        </c:manualLayout>
      </c:layout>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90117312280968E-2"/>
          <c:y val="2.2199223170204795E-2"/>
          <c:w val="0.86814075166962867"/>
          <c:h val="0.92491609345157877"/>
        </c:manualLayout>
      </c:layout>
      <c:scatterChart>
        <c:scatterStyle val="lineMarker"/>
        <c:varyColors val="0"/>
        <c:ser>
          <c:idx val="0"/>
          <c:order val="0"/>
          <c:tx>
            <c:strRef>
              <c:f>CMOS!$V$1</c:f>
              <c:strCache>
                <c:ptCount val="1"/>
                <c:pt idx="0">
                  <c:v>FOM_D</c:v>
                </c:pt>
              </c:strCache>
            </c:strRef>
          </c:tx>
          <c:spPr>
            <a:ln w="25400" cap="rnd">
              <a:noFill/>
              <a:round/>
            </a:ln>
            <a:effectLst/>
          </c:spPr>
          <c:marker>
            <c:symbol val="circle"/>
            <c:size val="5"/>
            <c:spPr>
              <a:solidFill>
                <a:schemeClr val="accent1"/>
              </a:solidFill>
              <a:ln w="9525">
                <a:solidFill>
                  <a:schemeClr val="accent1"/>
                </a:solidFill>
              </a:ln>
              <a:effectLst/>
            </c:spPr>
          </c:marker>
          <c:xVal>
            <c:numRef>
              <c:f>CMOS!$G$2:$G$1635</c:f>
              <c:numCache>
                <c:formatCode>General</c:formatCode>
                <c:ptCount val="1634"/>
                <c:pt idx="1">
                  <c:v>0.9</c:v>
                </c:pt>
                <c:pt idx="2">
                  <c:v>5.25</c:v>
                </c:pt>
                <c:pt idx="3">
                  <c:v>5.25</c:v>
                </c:pt>
                <c:pt idx="4">
                  <c:v>0.9</c:v>
                </c:pt>
                <c:pt idx="5">
                  <c:v>5.2</c:v>
                </c:pt>
                <c:pt idx="6">
                  <c:v>5.2</c:v>
                </c:pt>
                <c:pt idx="7">
                  <c:v>2.14</c:v>
                </c:pt>
                <c:pt idx="8">
                  <c:v>2</c:v>
                </c:pt>
                <c:pt idx="9">
                  <c:v>5.8</c:v>
                </c:pt>
                <c:pt idx="10">
                  <c:v>5.5</c:v>
                </c:pt>
                <c:pt idx="11">
                  <c:v>5.5</c:v>
                </c:pt>
                <c:pt idx="12">
                  <c:v>10.35</c:v>
                </c:pt>
                <c:pt idx="13">
                  <c:v>0.9</c:v>
                </c:pt>
                <c:pt idx="14">
                  <c:v>5</c:v>
                </c:pt>
                <c:pt idx="15">
                  <c:v>5.8</c:v>
                </c:pt>
                <c:pt idx="16">
                  <c:v>2.4</c:v>
                </c:pt>
                <c:pt idx="17">
                  <c:v>2.4</c:v>
                </c:pt>
                <c:pt idx="18">
                  <c:v>2.75</c:v>
                </c:pt>
                <c:pt idx="19">
                  <c:v>6</c:v>
                </c:pt>
                <c:pt idx="20">
                  <c:v>4.5999999999999996</c:v>
                </c:pt>
                <c:pt idx="21">
                  <c:v>1.7</c:v>
                </c:pt>
                <c:pt idx="22">
                  <c:v>5.25</c:v>
                </c:pt>
                <c:pt idx="23">
                  <c:v>5.05</c:v>
                </c:pt>
                <c:pt idx="24">
                  <c:v>4.9000000000000004</c:v>
                </c:pt>
                <c:pt idx="25">
                  <c:v>58.5</c:v>
                </c:pt>
                <c:pt idx="26">
                  <c:v>2.15</c:v>
                </c:pt>
                <c:pt idx="27">
                  <c:v>5</c:v>
                </c:pt>
                <c:pt idx="28">
                  <c:v>5</c:v>
                </c:pt>
                <c:pt idx="29">
                  <c:v>40</c:v>
                </c:pt>
                <c:pt idx="30">
                  <c:v>25.5</c:v>
                </c:pt>
                <c:pt idx="31">
                  <c:v>15.25</c:v>
                </c:pt>
                <c:pt idx="32">
                  <c:v>0.52400000000000002</c:v>
                </c:pt>
                <c:pt idx="33">
                  <c:v>51.375</c:v>
                </c:pt>
                <c:pt idx="34">
                  <c:v>39</c:v>
                </c:pt>
                <c:pt idx="35">
                  <c:v>1.95</c:v>
                </c:pt>
                <c:pt idx="36">
                  <c:v>4</c:v>
                </c:pt>
                <c:pt idx="37">
                  <c:v>3.9</c:v>
                </c:pt>
                <c:pt idx="38">
                  <c:v>3.8</c:v>
                </c:pt>
                <c:pt idx="39">
                  <c:v>7.125</c:v>
                </c:pt>
                <c:pt idx="40">
                  <c:v>7.25</c:v>
                </c:pt>
                <c:pt idx="41">
                  <c:v>0.61</c:v>
                </c:pt>
                <c:pt idx="42">
                  <c:v>6.85</c:v>
                </c:pt>
                <c:pt idx="43">
                  <c:v>14.8</c:v>
                </c:pt>
                <c:pt idx="44">
                  <c:v>6.85</c:v>
                </c:pt>
                <c:pt idx="45">
                  <c:v>2.0499999999999998</c:v>
                </c:pt>
                <c:pt idx="46">
                  <c:v>4</c:v>
                </c:pt>
                <c:pt idx="47">
                  <c:v>0.9</c:v>
                </c:pt>
                <c:pt idx="48">
                  <c:v>0.375</c:v>
                </c:pt>
                <c:pt idx="49">
                  <c:v>5.8</c:v>
                </c:pt>
                <c:pt idx="50">
                  <c:v>5.8</c:v>
                </c:pt>
                <c:pt idx="51">
                  <c:v>5.8</c:v>
                </c:pt>
                <c:pt idx="52">
                  <c:v>5.8</c:v>
                </c:pt>
                <c:pt idx="53">
                  <c:v>6.4</c:v>
                </c:pt>
                <c:pt idx="54">
                  <c:v>2.4500000000000002</c:v>
                </c:pt>
                <c:pt idx="55">
                  <c:v>0.4</c:v>
                </c:pt>
                <c:pt idx="56">
                  <c:v>6.7</c:v>
                </c:pt>
                <c:pt idx="57">
                  <c:v>21.8</c:v>
                </c:pt>
                <c:pt idx="58">
                  <c:v>5.8</c:v>
                </c:pt>
                <c:pt idx="59">
                  <c:v>0.93500000000000005</c:v>
                </c:pt>
                <c:pt idx="60">
                  <c:v>24</c:v>
                </c:pt>
                <c:pt idx="61">
                  <c:v>24</c:v>
                </c:pt>
                <c:pt idx="62">
                  <c:v>24</c:v>
                </c:pt>
                <c:pt idx="63">
                  <c:v>53</c:v>
                </c:pt>
                <c:pt idx="64">
                  <c:v>38</c:v>
                </c:pt>
                <c:pt idx="65">
                  <c:v>60</c:v>
                </c:pt>
                <c:pt idx="66">
                  <c:v>59.75</c:v>
                </c:pt>
                <c:pt idx="67">
                  <c:v>59.75</c:v>
                </c:pt>
                <c:pt idx="68">
                  <c:v>60</c:v>
                </c:pt>
                <c:pt idx="69">
                  <c:v>0.66</c:v>
                </c:pt>
                <c:pt idx="70">
                  <c:v>60</c:v>
                </c:pt>
                <c:pt idx="71">
                  <c:v>61.5</c:v>
                </c:pt>
                <c:pt idx="72">
                  <c:v>1.05</c:v>
                </c:pt>
                <c:pt idx="73">
                  <c:v>0.61</c:v>
                </c:pt>
                <c:pt idx="74">
                  <c:v>54.5</c:v>
                </c:pt>
                <c:pt idx="75">
                  <c:v>56.25</c:v>
                </c:pt>
                <c:pt idx="76">
                  <c:v>36.5</c:v>
                </c:pt>
                <c:pt idx="77">
                  <c:v>58.5</c:v>
                </c:pt>
                <c:pt idx="78">
                  <c:v>57.75</c:v>
                </c:pt>
                <c:pt idx="79">
                  <c:v>2.8</c:v>
                </c:pt>
                <c:pt idx="80">
                  <c:v>3.3</c:v>
                </c:pt>
                <c:pt idx="81">
                  <c:v>4.5999999999999996</c:v>
                </c:pt>
                <c:pt idx="82">
                  <c:v>2.0499999999999998</c:v>
                </c:pt>
                <c:pt idx="83">
                  <c:v>5.65</c:v>
                </c:pt>
                <c:pt idx="84">
                  <c:v>5.9</c:v>
                </c:pt>
                <c:pt idx="85">
                  <c:v>60</c:v>
                </c:pt>
                <c:pt idx="86">
                  <c:v>5.95</c:v>
                </c:pt>
                <c:pt idx="87">
                  <c:v>5.95</c:v>
                </c:pt>
                <c:pt idx="88">
                  <c:v>16</c:v>
                </c:pt>
                <c:pt idx="89">
                  <c:v>3.75</c:v>
                </c:pt>
                <c:pt idx="90">
                  <c:v>4.5</c:v>
                </c:pt>
                <c:pt idx="91">
                  <c:v>7.2</c:v>
                </c:pt>
                <c:pt idx="92">
                  <c:v>0.52500000000000002</c:v>
                </c:pt>
                <c:pt idx="93">
                  <c:v>76</c:v>
                </c:pt>
                <c:pt idx="94">
                  <c:v>2.2749999999999999</c:v>
                </c:pt>
                <c:pt idx="95">
                  <c:v>23.75</c:v>
                </c:pt>
                <c:pt idx="96">
                  <c:v>0.83750000000000002</c:v>
                </c:pt>
                <c:pt idx="97">
                  <c:v>63.5</c:v>
                </c:pt>
                <c:pt idx="98">
                  <c:v>118</c:v>
                </c:pt>
                <c:pt idx="99">
                  <c:v>1.1499999999999999</c:v>
                </c:pt>
                <c:pt idx="100">
                  <c:v>53.5</c:v>
                </c:pt>
                <c:pt idx="101">
                  <c:v>54</c:v>
                </c:pt>
                <c:pt idx="102">
                  <c:v>1.5249999999999999</c:v>
                </c:pt>
                <c:pt idx="103">
                  <c:v>27.25</c:v>
                </c:pt>
                <c:pt idx="104">
                  <c:v>3</c:v>
                </c:pt>
                <c:pt idx="105">
                  <c:v>5</c:v>
                </c:pt>
                <c:pt idx="106">
                  <c:v>154.5</c:v>
                </c:pt>
                <c:pt idx="107">
                  <c:v>94.5</c:v>
                </c:pt>
                <c:pt idx="108">
                  <c:v>29</c:v>
                </c:pt>
                <c:pt idx="109">
                  <c:v>44</c:v>
                </c:pt>
                <c:pt idx="110">
                  <c:v>27.6</c:v>
                </c:pt>
                <c:pt idx="111">
                  <c:v>59.5</c:v>
                </c:pt>
                <c:pt idx="112">
                  <c:v>7</c:v>
                </c:pt>
                <c:pt idx="113">
                  <c:v>7.5</c:v>
                </c:pt>
                <c:pt idx="114">
                  <c:v>26.35</c:v>
                </c:pt>
                <c:pt idx="115">
                  <c:v>63</c:v>
                </c:pt>
                <c:pt idx="116">
                  <c:v>2.35</c:v>
                </c:pt>
                <c:pt idx="117">
                  <c:v>61.56</c:v>
                </c:pt>
                <c:pt idx="118">
                  <c:v>77</c:v>
                </c:pt>
                <c:pt idx="119">
                  <c:v>77</c:v>
                </c:pt>
                <c:pt idx="120">
                  <c:v>92</c:v>
                </c:pt>
                <c:pt idx="121">
                  <c:v>9.5</c:v>
                </c:pt>
                <c:pt idx="122">
                  <c:v>32</c:v>
                </c:pt>
                <c:pt idx="123">
                  <c:v>61</c:v>
                </c:pt>
                <c:pt idx="124">
                  <c:v>28.35</c:v>
                </c:pt>
                <c:pt idx="125">
                  <c:v>28.35</c:v>
                </c:pt>
                <c:pt idx="126">
                  <c:v>28.35</c:v>
                </c:pt>
                <c:pt idx="127">
                  <c:v>28.25</c:v>
                </c:pt>
                <c:pt idx="128">
                  <c:v>30</c:v>
                </c:pt>
                <c:pt idx="129">
                  <c:v>32.5</c:v>
                </c:pt>
                <c:pt idx="130">
                  <c:v>27.2</c:v>
                </c:pt>
                <c:pt idx="131">
                  <c:v>27.2</c:v>
                </c:pt>
                <c:pt idx="132">
                  <c:v>24.25</c:v>
                </c:pt>
                <c:pt idx="133">
                  <c:v>24.25</c:v>
                </c:pt>
                <c:pt idx="134">
                  <c:v>25</c:v>
                </c:pt>
                <c:pt idx="135">
                  <c:v>25</c:v>
                </c:pt>
                <c:pt idx="136">
                  <c:v>9.25</c:v>
                </c:pt>
                <c:pt idx="137">
                  <c:v>6.7</c:v>
                </c:pt>
                <c:pt idx="138">
                  <c:v>6</c:v>
                </c:pt>
                <c:pt idx="139">
                  <c:v>152.19999999999999</c:v>
                </c:pt>
                <c:pt idx="140">
                  <c:v>29.05</c:v>
                </c:pt>
                <c:pt idx="141">
                  <c:v>0.85</c:v>
                </c:pt>
                <c:pt idx="142">
                  <c:v>2</c:v>
                </c:pt>
                <c:pt idx="143">
                  <c:v>17.25</c:v>
                </c:pt>
                <c:pt idx="144">
                  <c:v>10.95</c:v>
                </c:pt>
                <c:pt idx="145">
                  <c:v>1.31</c:v>
                </c:pt>
                <c:pt idx="146">
                  <c:v>1.48</c:v>
                </c:pt>
                <c:pt idx="147">
                  <c:v>1.5249999999999999</c:v>
                </c:pt>
                <c:pt idx="148">
                  <c:v>1.8049999999999999</c:v>
                </c:pt>
                <c:pt idx="149">
                  <c:v>1.93</c:v>
                </c:pt>
                <c:pt idx="150">
                  <c:v>2.35</c:v>
                </c:pt>
                <c:pt idx="151">
                  <c:v>1.8</c:v>
                </c:pt>
                <c:pt idx="152">
                  <c:v>4</c:v>
                </c:pt>
                <c:pt idx="153">
                  <c:v>60</c:v>
                </c:pt>
                <c:pt idx="154">
                  <c:v>1.45</c:v>
                </c:pt>
                <c:pt idx="155">
                  <c:v>27</c:v>
                </c:pt>
                <c:pt idx="156">
                  <c:v>153.5</c:v>
                </c:pt>
                <c:pt idx="157">
                  <c:v>27.8</c:v>
                </c:pt>
                <c:pt idx="158">
                  <c:v>153</c:v>
                </c:pt>
                <c:pt idx="159">
                  <c:v>39</c:v>
                </c:pt>
                <c:pt idx="160">
                  <c:v>10.1</c:v>
                </c:pt>
                <c:pt idx="161">
                  <c:v>20.5</c:v>
                </c:pt>
                <c:pt idx="162">
                  <c:v>22.35</c:v>
                </c:pt>
                <c:pt idx="163">
                  <c:v>25.5</c:v>
                </c:pt>
                <c:pt idx="164">
                  <c:v>151.9</c:v>
                </c:pt>
                <c:pt idx="165">
                  <c:v>5</c:v>
                </c:pt>
                <c:pt idx="166">
                  <c:v>13</c:v>
                </c:pt>
                <c:pt idx="167">
                  <c:v>26.5</c:v>
                </c:pt>
                <c:pt idx="168">
                  <c:v>27.2</c:v>
                </c:pt>
                <c:pt idx="169">
                  <c:v>32</c:v>
                </c:pt>
                <c:pt idx="170">
                  <c:v>5.5</c:v>
                </c:pt>
                <c:pt idx="171">
                  <c:v>3.5</c:v>
                </c:pt>
                <c:pt idx="172">
                  <c:v>3.5</c:v>
                </c:pt>
                <c:pt idx="173">
                  <c:v>2.95</c:v>
                </c:pt>
                <c:pt idx="174">
                  <c:v>2.95</c:v>
                </c:pt>
                <c:pt idx="175">
                  <c:v>139.25</c:v>
                </c:pt>
                <c:pt idx="176">
                  <c:v>138.5</c:v>
                </c:pt>
                <c:pt idx="177">
                  <c:v>138.5</c:v>
                </c:pt>
                <c:pt idx="178">
                  <c:v>38.200000000000003</c:v>
                </c:pt>
                <c:pt idx="179">
                  <c:v>2.2000000000000002</c:v>
                </c:pt>
                <c:pt idx="180">
                  <c:v>8</c:v>
                </c:pt>
                <c:pt idx="181">
                  <c:v>31.75</c:v>
                </c:pt>
                <c:pt idx="182">
                  <c:v>2.0249999999999999</c:v>
                </c:pt>
                <c:pt idx="183">
                  <c:v>22.25</c:v>
                </c:pt>
                <c:pt idx="184">
                  <c:v>60.2</c:v>
                </c:pt>
                <c:pt idx="185">
                  <c:v>40.5</c:v>
                </c:pt>
                <c:pt idx="186">
                  <c:v>26.05</c:v>
                </c:pt>
                <c:pt idx="187">
                  <c:v>38.85</c:v>
                </c:pt>
                <c:pt idx="188">
                  <c:v>60</c:v>
                </c:pt>
                <c:pt idx="190">
                  <c:v>1.75</c:v>
                </c:pt>
                <c:pt idx="191">
                  <c:v>0.19400000000000001</c:v>
                </c:pt>
                <c:pt idx="192">
                  <c:v>0.9</c:v>
                </c:pt>
                <c:pt idx="193">
                  <c:v>1.9750000000000001</c:v>
                </c:pt>
                <c:pt idx="194">
                  <c:v>2.4</c:v>
                </c:pt>
                <c:pt idx="195">
                  <c:v>0.47499999999999998</c:v>
                </c:pt>
                <c:pt idx="196">
                  <c:v>0.9</c:v>
                </c:pt>
                <c:pt idx="197">
                  <c:v>0.9</c:v>
                </c:pt>
                <c:pt idx="198">
                  <c:v>0.9</c:v>
                </c:pt>
                <c:pt idx="199">
                  <c:v>1.2649999999999999</c:v>
                </c:pt>
                <c:pt idx="200">
                  <c:v>2.625</c:v>
                </c:pt>
                <c:pt idx="201">
                  <c:v>7</c:v>
                </c:pt>
                <c:pt idx="202">
                  <c:v>0.8</c:v>
                </c:pt>
                <c:pt idx="203">
                  <c:v>5.75</c:v>
                </c:pt>
                <c:pt idx="204">
                  <c:v>5.75</c:v>
                </c:pt>
                <c:pt idx="205">
                  <c:v>5.1849999999999996</c:v>
                </c:pt>
                <c:pt idx="206">
                  <c:v>2.15</c:v>
                </c:pt>
                <c:pt idx="207">
                  <c:v>2.15</c:v>
                </c:pt>
                <c:pt idx="208">
                  <c:v>0.8</c:v>
                </c:pt>
                <c:pt idx="209">
                  <c:v>34</c:v>
                </c:pt>
                <c:pt idx="210">
                  <c:v>5.75</c:v>
                </c:pt>
                <c:pt idx="211">
                  <c:v>5.95</c:v>
                </c:pt>
                <c:pt idx="212">
                  <c:v>3.3</c:v>
                </c:pt>
                <c:pt idx="213">
                  <c:v>5.5</c:v>
                </c:pt>
                <c:pt idx="214">
                  <c:v>5.5</c:v>
                </c:pt>
                <c:pt idx="215">
                  <c:v>5.5</c:v>
                </c:pt>
                <c:pt idx="216">
                  <c:v>1.9650000000000001</c:v>
                </c:pt>
                <c:pt idx="217">
                  <c:v>3.52</c:v>
                </c:pt>
                <c:pt idx="218">
                  <c:v>0.93</c:v>
                </c:pt>
                <c:pt idx="219">
                  <c:v>0.51500000000000001</c:v>
                </c:pt>
                <c:pt idx="220">
                  <c:v>6.55</c:v>
                </c:pt>
                <c:pt idx="221">
                  <c:v>6.85</c:v>
                </c:pt>
                <c:pt idx="222">
                  <c:v>6.85</c:v>
                </c:pt>
                <c:pt idx="223">
                  <c:v>2.25</c:v>
                </c:pt>
                <c:pt idx="224">
                  <c:v>58</c:v>
                </c:pt>
                <c:pt idx="225">
                  <c:v>1.1000000000000001</c:v>
                </c:pt>
                <c:pt idx="226">
                  <c:v>2</c:v>
                </c:pt>
                <c:pt idx="227">
                  <c:v>1.5195000000000001</c:v>
                </c:pt>
                <c:pt idx="228">
                  <c:v>2.1</c:v>
                </c:pt>
                <c:pt idx="229">
                  <c:v>2.2749999999999999</c:v>
                </c:pt>
                <c:pt idx="230">
                  <c:v>61.5</c:v>
                </c:pt>
                <c:pt idx="231">
                  <c:v>1.45</c:v>
                </c:pt>
                <c:pt idx="232">
                  <c:v>2.5499999999999998</c:v>
                </c:pt>
                <c:pt idx="233">
                  <c:v>5.5</c:v>
                </c:pt>
                <c:pt idx="234">
                  <c:v>2.7</c:v>
                </c:pt>
                <c:pt idx="235">
                  <c:v>64</c:v>
                </c:pt>
                <c:pt idx="236">
                  <c:v>82</c:v>
                </c:pt>
                <c:pt idx="237">
                  <c:v>3.25</c:v>
                </c:pt>
                <c:pt idx="238">
                  <c:v>3.25</c:v>
                </c:pt>
                <c:pt idx="239">
                  <c:v>3.4</c:v>
                </c:pt>
                <c:pt idx="240">
                  <c:v>2</c:v>
                </c:pt>
                <c:pt idx="241">
                  <c:v>5</c:v>
                </c:pt>
                <c:pt idx="242">
                  <c:v>5.3</c:v>
                </c:pt>
                <c:pt idx="243">
                  <c:v>7</c:v>
                </c:pt>
                <c:pt idx="244">
                  <c:v>4.5999999999999996</c:v>
                </c:pt>
                <c:pt idx="245">
                  <c:v>4.8</c:v>
                </c:pt>
                <c:pt idx="246">
                  <c:v>0.65500000000000003</c:v>
                </c:pt>
                <c:pt idx="247">
                  <c:v>0.72050000000000003</c:v>
                </c:pt>
                <c:pt idx="248">
                  <c:v>0.32400000000000001</c:v>
                </c:pt>
                <c:pt idx="249">
                  <c:v>2.4</c:v>
                </c:pt>
                <c:pt idx="250">
                  <c:v>2.4</c:v>
                </c:pt>
                <c:pt idx="251">
                  <c:v>27.5</c:v>
                </c:pt>
                <c:pt idx="252">
                  <c:v>0.62</c:v>
                </c:pt>
                <c:pt idx="253">
                  <c:v>60</c:v>
                </c:pt>
                <c:pt idx="254">
                  <c:v>87</c:v>
                </c:pt>
                <c:pt idx="255">
                  <c:v>77</c:v>
                </c:pt>
                <c:pt idx="256">
                  <c:v>1.151</c:v>
                </c:pt>
                <c:pt idx="257">
                  <c:v>0.91</c:v>
                </c:pt>
                <c:pt idx="258">
                  <c:v>81</c:v>
                </c:pt>
                <c:pt idx="259">
                  <c:v>62</c:v>
                </c:pt>
                <c:pt idx="260">
                  <c:v>60</c:v>
                </c:pt>
                <c:pt idx="261">
                  <c:v>0.105</c:v>
                </c:pt>
                <c:pt idx="262">
                  <c:v>1.4</c:v>
                </c:pt>
                <c:pt idx="263">
                  <c:v>5.05</c:v>
                </c:pt>
                <c:pt idx="264">
                  <c:v>2.625</c:v>
                </c:pt>
                <c:pt idx="265">
                  <c:v>2.65</c:v>
                </c:pt>
                <c:pt idx="266">
                  <c:v>211</c:v>
                </c:pt>
                <c:pt idx="267">
                  <c:v>1</c:v>
                </c:pt>
                <c:pt idx="268">
                  <c:v>2.2999999999999998</c:v>
                </c:pt>
                <c:pt idx="269">
                  <c:v>1.1000000000000001</c:v>
                </c:pt>
                <c:pt idx="270">
                  <c:v>0.9</c:v>
                </c:pt>
                <c:pt idx="271">
                  <c:v>2.4</c:v>
                </c:pt>
                <c:pt idx="272">
                  <c:v>1.85</c:v>
                </c:pt>
                <c:pt idx="273">
                  <c:v>80.849999999999994</c:v>
                </c:pt>
                <c:pt idx="274">
                  <c:v>80</c:v>
                </c:pt>
                <c:pt idx="275">
                  <c:v>77.5</c:v>
                </c:pt>
                <c:pt idx="276">
                  <c:v>77.25</c:v>
                </c:pt>
                <c:pt idx="277">
                  <c:v>1.05</c:v>
                </c:pt>
                <c:pt idx="278">
                  <c:v>82.25</c:v>
                </c:pt>
                <c:pt idx="279">
                  <c:v>4.4000000000000004</c:v>
                </c:pt>
                <c:pt idx="280">
                  <c:v>68.75</c:v>
                </c:pt>
                <c:pt idx="281">
                  <c:v>2.4</c:v>
                </c:pt>
                <c:pt idx="282">
                  <c:v>1.05</c:v>
                </c:pt>
                <c:pt idx="283">
                  <c:v>27</c:v>
                </c:pt>
                <c:pt idx="284">
                  <c:v>27</c:v>
                </c:pt>
                <c:pt idx="285">
                  <c:v>2.4</c:v>
                </c:pt>
                <c:pt idx="286">
                  <c:v>18.8</c:v>
                </c:pt>
                <c:pt idx="287">
                  <c:v>80.5</c:v>
                </c:pt>
                <c:pt idx="288">
                  <c:v>9.25</c:v>
                </c:pt>
                <c:pt idx="289">
                  <c:v>2.2599999999999998</c:v>
                </c:pt>
                <c:pt idx="290">
                  <c:v>125</c:v>
                </c:pt>
                <c:pt idx="291">
                  <c:v>19</c:v>
                </c:pt>
                <c:pt idx="292">
                  <c:v>30.55</c:v>
                </c:pt>
                <c:pt idx="293">
                  <c:v>138.5</c:v>
                </c:pt>
                <c:pt idx="294">
                  <c:v>62.65</c:v>
                </c:pt>
                <c:pt idx="295">
                  <c:v>78</c:v>
                </c:pt>
                <c:pt idx="296">
                  <c:v>28.65</c:v>
                </c:pt>
                <c:pt idx="297">
                  <c:v>37.9</c:v>
                </c:pt>
                <c:pt idx="298">
                  <c:v>11</c:v>
                </c:pt>
                <c:pt idx="299">
                  <c:v>7.1</c:v>
                </c:pt>
                <c:pt idx="300">
                  <c:v>7.35</c:v>
                </c:pt>
                <c:pt idx="301">
                  <c:v>10.65</c:v>
                </c:pt>
                <c:pt idx="302">
                  <c:v>14.75</c:v>
                </c:pt>
                <c:pt idx="303">
                  <c:v>13.4</c:v>
                </c:pt>
                <c:pt idx="304">
                  <c:v>7.75</c:v>
                </c:pt>
                <c:pt idx="305">
                  <c:v>10.8</c:v>
                </c:pt>
                <c:pt idx="306">
                  <c:v>14.05</c:v>
                </c:pt>
                <c:pt idx="307">
                  <c:v>11.65</c:v>
                </c:pt>
                <c:pt idx="308">
                  <c:v>11.05</c:v>
                </c:pt>
                <c:pt idx="309">
                  <c:v>11</c:v>
                </c:pt>
                <c:pt idx="310">
                  <c:v>134.5</c:v>
                </c:pt>
                <c:pt idx="311">
                  <c:v>113</c:v>
                </c:pt>
                <c:pt idx="315">
                  <c:v>0.9</c:v>
                </c:pt>
                <c:pt idx="316">
                  <c:v>0.9</c:v>
                </c:pt>
                <c:pt idx="317">
                  <c:v>0.9</c:v>
                </c:pt>
                <c:pt idx="318">
                  <c:v>1.75</c:v>
                </c:pt>
                <c:pt idx="319">
                  <c:v>1.85</c:v>
                </c:pt>
                <c:pt idx="320">
                  <c:v>0.9</c:v>
                </c:pt>
                <c:pt idx="321">
                  <c:v>0.9</c:v>
                </c:pt>
                <c:pt idx="322">
                  <c:v>1.57</c:v>
                </c:pt>
                <c:pt idx="323">
                  <c:v>2.2000000000000002</c:v>
                </c:pt>
                <c:pt idx="324">
                  <c:v>5.75</c:v>
                </c:pt>
                <c:pt idx="325">
                  <c:v>5.95</c:v>
                </c:pt>
                <c:pt idx="326">
                  <c:v>5.9</c:v>
                </c:pt>
                <c:pt idx="327">
                  <c:v>4</c:v>
                </c:pt>
                <c:pt idx="328">
                  <c:v>4.3499999999999996</c:v>
                </c:pt>
                <c:pt idx="329">
                  <c:v>55.5</c:v>
                </c:pt>
                <c:pt idx="330">
                  <c:v>3.25</c:v>
                </c:pt>
                <c:pt idx="331">
                  <c:v>3.5</c:v>
                </c:pt>
                <c:pt idx="332">
                  <c:v>3</c:v>
                </c:pt>
                <c:pt idx="333">
                  <c:v>3</c:v>
                </c:pt>
                <c:pt idx="334">
                  <c:v>5</c:v>
                </c:pt>
                <c:pt idx="335">
                  <c:v>58</c:v>
                </c:pt>
                <c:pt idx="336">
                  <c:v>18.86</c:v>
                </c:pt>
                <c:pt idx="337">
                  <c:v>59.65</c:v>
                </c:pt>
                <c:pt idx="338">
                  <c:v>0.61</c:v>
                </c:pt>
                <c:pt idx="339">
                  <c:v>2.625</c:v>
                </c:pt>
                <c:pt idx="340">
                  <c:v>202.5</c:v>
                </c:pt>
                <c:pt idx="341">
                  <c:v>0.45900000000000002</c:v>
                </c:pt>
                <c:pt idx="342">
                  <c:v>82.25</c:v>
                </c:pt>
                <c:pt idx="343">
                  <c:v>81</c:v>
                </c:pt>
                <c:pt idx="344">
                  <c:v>5.5</c:v>
                </c:pt>
                <c:pt idx="345">
                  <c:v>80.5</c:v>
                </c:pt>
                <c:pt idx="346">
                  <c:v>1.625</c:v>
                </c:pt>
                <c:pt idx="347">
                  <c:v>32.5</c:v>
                </c:pt>
                <c:pt idx="348">
                  <c:v>78</c:v>
                </c:pt>
                <c:pt idx="349">
                  <c:v>27.2</c:v>
                </c:pt>
                <c:pt idx="352">
                  <c:v>59</c:v>
                </c:pt>
                <c:pt idx="353">
                  <c:v>2</c:v>
                </c:pt>
                <c:pt idx="354">
                  <c:v>5.2</c:v>
                </c:pt>
                <c:pt idx="355">
                  <c:v>13.1</c:v>
                </c:pt>
                <c:pt idx="356">
                  <c:v>140</c:v>
                </c:pt>
                <c:pt idx="357">
                  <c:v>24.4</c:v>
                </c:pt>
                <c:pt idx="358">
                  <c:v>8.5</c:v>
                </c:pt>
                <c:pt idx="359">
                  <c:v>3.5</c:v>
                </c:pt>
                <c:pt idx="360">
                  <c:v>6.7</c:v>
                </c:pt>
                <c:pt idx="361">
                  <c:v>5.6</c:v>
                </c:pt>
                <c:pt idx="362">
                  <c:v>3.05</c:v>
                </c:pt>
                <c:pt idx="363">
                  <c:v>11</c:v>
                </c:pt>
                <c:pt idx="364">
                  <c:v>1.6850000000000001</c:v>
                </c:pt>
                <c:pt idx="365">
                  <c:v>23.95</c:v>
                </c:pt>
                <c:pt idx="366">
                  <c:v>0.45400000000000001</c:v>
                </c:pt>
                <c:pt idx="367">
                  <c:v>4.1500000000000004</c:v>
                </c:pt>
                <c:pt idx="368">
                  <c:v>3.65</c:v>
                </c:pt>
                <c:pt idx="369">
                  <c:v>16.5</c:v>
                </c:pt>
                <c:pt idx="370">
                  <c:v>10.5</c:v>
                </c:pt>
                <c:pt idx="371">
                  <c:v>0.55100000000000005</c:v>
                </c:pt>
                <c:pt idx="372">
                  <c:v>3</c:v>
                </c:pt>
                <c:pt idx="373">
                  <c:v>3.5</c:v>
                </c:pt>
                <c:pt idx="374">
                  <c:v>2.5</c:v>
                </c:pt>
                <c:pt idx="375">
                  <c:v>2.5</c:v>
                </c:pt>
                <c:pt idx="376">
                  <c:v>0.92500000000000004</c:v>
                </c:pt>
                <c:pt idx="377">
                  <c:v>2.25</c:v>
                </c:pt>
                <c:pt idx="378">
                  <c:v>2.125</c:v>
                </c:pt>
                <c:pt idx="379">
                  <c:v>2.125</c:v>
                </c:pt>
                <c:pt idx="380">
                  <c:v>2.125</c:v>
                </c:pt>
                <c:pt idx="381">
                  <c:v>2.125</c:v>
                </c:pt>
                <c:pt idx="382">
                  <c:v>1.4</c:v>
                </c:pt>
                <c:pt idx="383">
                  <c:v>4.5</c:v>
                </c:pt>
                <c:pt idx="384">
                  <c:v>60</c:v>
                </c:pt>
                <c:pt idx="385">
                  <c:v>60</c:v>
                </c:pt>
                <c:pt idx="386">
                  <c:v>3.9</c:v>
                </c:pt>
                <c:pt idx="387">
                  <c:v>1.1020000000000001</c:v>
                </c:pt>
                <c:pt idx="388">
                  <c:v>1</c:v>
                </c:pt>
                <c:pt idx="389">
                  <c:v>61.5</c:v>
                </c:pt>
                <c:pt idx="390">
                  <c:v>2.8</c:v>
                </c:pt>
                <c:pt idx="391">
                  <c:v>3.3</c:v>
                </c:pt>
                <c:pt idx="392">
                  <c:v>4.5999999999999996</c:v>
                </c:pt>
                <c:pt idx="393">
                  <c:v>2.0499999999999998</c:v>
                </c:pt>
                <c:pt idx="394">
                  <c:v>5.65</c:v>
                </c:pt>
                <c:pt idx="395">
                  <c:v>7.55</c:v>
                </c:pt>
                <c:pt idx="396">
                  <c:v>4.95</c:v>
                </c:pt>
                <c:pt idx="397">
                  <c:v>4.95</c:v>
                </c:pt>
                <c:pt idx="398">
                  <c:v>4.95</c:v>
                </c:pt>
                <c:pt idx="399">
                  <c:v>4.95</c:v>
                </c:pt>
                <c:pt idx="400">
                  <c:v>4.95</c:v>
                </c:pt>
                <c:pt idx="401">
                  <c:v>4.75</c:v>
                </c:pt>
                <c:pt idx="402">
                  <c:v>0.60599999999999998</c:v>
                </c:pt>
                <c:pt idx="403">
                  <c:v>5.55</c:v>
                </c:pt>
                <c:pt idx="404">
                  <c:v>53.5</c:v>
                </c:pt>
                <c:pt idx="405">
                  <c:v>1.05</c:v>
                </c:pt>
                <c:pt idx="406">
                  <c:v>57.75</c:v>
                </c:pt>
                <c:pt idx="407">
                  <c:v>2.35</c:v>
                </c:pt>
                <c:pt idx="408">
                  <c:v>2.4</c:v>
                </c:pt>
                <c:pt idx="409">
                  <c:v>77</c:v>
                </c:pt>
                <c:pt idx="410">
                  <c:v>93.75</c:v>
                </c:pt>
                <c:pt idx="411">
                  <c:v>70.5</c:v>
                </c:pt>
                <c:pt idx="412">
                  <c:v>28.7</c:v>
                </c:pt>
                <c:pt idx="413">
                  <c:v>26.5</c:v>
                </c:pt>
                <c:pt idx="414">
                  <c:v>31.5</c:v>
                </c:pt>
                <c:pt idx="415">
                  <c:v>27</c:v>
                </c:pt>
                <c:pt idx="416">
                  <c:v>27</c:v>
                </c:pt>
                <c:pt idx="417">
                  <c:v>30</c:v>
                </c:pt>
                <c:pt idx="418">
                  <c:v>30</c:v>
                </c:pt>
                <c:pt idx="419">
                  <c:v>57</c:v>
                </c:pt>
                <c:pt idx="420">
                  <c:v>57</c:v>
                </c:pt>
                <c:pt idx="421">
                  <c:v>28</c:v>
                </c:pt>
                <c:pt idx="422">
                  <c:v>19</c:v>
                </c:pt>
                <c:pt idx="423">
                  <c:v>19</c:v>
                </c:pt>
                <c:pt idx="424">
                  <c:v>5.5</c:v>
                </c:pt>
                <c:pt idx="425">
                  <c:v>5.5</c:v>
                </c:pt>
                <c:pt idx="426">
                  <c:v>5.5</c:v>
                </c:pt>
                <c:pt idx="427">
                  <c:v>3.5</c:v>
                </c:pt>
                <c:pt idx="428">
                  <c:v>136.5</c:v>
                </c:pt>
                <c:pt idx="429">
                  <c:v>29</c:v>
                </c:pt>
                <c:pt idx="430">
                  <c:v>38</c:v>
                </c:pt>
                <c:pt idx="431">
                  <c:v>32.6</c:v>
                </c:pt>
                <c:pt idx="432">
                  <c:v>27.5</c:v>
                </c:pt>
                <c:pt idx="433">
                  <c:v>2.4500000000000002</c:v>
                </c:pt>
                <c:pt idx="434">
                  <c:v>9</c:v>
                </c:pt>
                <c:pt idx="435">
                  <c:v>22.35</c:v>
                </c:pt>
                <c:pt idx="436">
                  <c:v>27.8</c:v>
                </c:pt>
                <c:pt idx="437">
                  <c:v>27.4</c:v>
                </c:pt>
                <c:pt idx="438">
                  <c:v>12</c:v>
                </c:pt>
                <c:pt idx="439">
                  <c:v>20</c:v>
                </c:pt>
                <c:pt idx="440">
                  <c:v>78.5</c:v>
                </c:pt>
                <c:pt idx="441">
                  <c:v>38.75</c:v>
                </c:pt>
                <c:pt idx="442">
                  <c:v>27.5</c:v>
                </c:pt>
                <c:pt idx="443">
                  <c:v>27.5</c:v>
                </c:pt>
                <c:pt idx="444">
                  <c:v>27.9</c:v>
                </c:pt>
                <c:pt idx="445">
                  <c:v>24</c:v>
                </c:pt>
                <c:pt idx="446">
                  <c:v>30.25</c:v>
                </c:pt>
                <c:pt idx="447">
                  <c:v>32.5</c:v>
                </c:pt>
                <c:pt idx="448">
                  <c:v>139.25</c:v>
                </c:pt>
                <c:pt idx="449">
                  <c:v>196</c:v>
                </c:pt>
                <c:pt idx="450">
                  <c:v>32</c:v>
                </c:pt>
                <c:pt idx="451">
                  <c:v>26.05</c:v>
                </c:pt>
                <c:pt idx="452">
                  <c:v>38.85</c:v>
                </c:pt>
                <c:pt idx="453">
                  <c:v>31.5</c:v>
                </c:pt>
                <c:pt idx="454">
                  <c:v>5.35</c:v>
                </c:pt>
                <c:pt idx="455">
                  <c:v>3.1</c:v>
                </c:pt>
                <c:pt idx="456">
                  <c:v>26.05</c:v>
                </c:pt>
                <c:pt idx="457">
                  <c:v>36.950000000000003</c:v>
                </c:pt>
                <c:pt idx="458">
                  <c:v>67.5</c:v>
                </c:pt>
                <c:pt idx="461">
                  <c:v>2.1</c:v>
                </c:pt>
                <c:pt idx="462">
                  <c:v>0.435</c:v>
                </c:pt>
                <c:pt idx="463">
                  <c:v>5</c:v>
                </c:pt>
                <c:pt idx="464">
                  <c:v>6</c:v>
                </c:pt>
                <c:pt idx="465">
                  <c:v>13.1</c:v>
                </c:pt>
                <c:pt idx="466">
                  <c:v>0.30499999999999999</c:v>
                </c:pt>
                <c:pt idx="467">
                  <c:v>2.625</c:v>
                </c:pt>
                <c:pt idx="468">
                  <c:v>5.8</c:v>
                </c:pt>
                <c:pt idx="469">
                  <c:v>38</c:v>
                </c:pt>
                <c:pt idx="470">
                  <c:v>6.5</c:v>
                </c:pt>
                <c:pt idx="471">
                  <c:v>71.5</c:v>
                </c:pt>
                <c:pt idx="472">
                  <c:v>57.9</c:v>
                </c:pt>
                <c:pt idx="473">
                  <c:v>57.75</c:v>
                </c:pt>
                <c:pt idx="474">
                  <c:v>5.8</c:v>
                </c:pt>
                <c:pt idx="475">
                  <c:v>24.5</c:v>
                </c:pt>
                <c:pt idx="476">
                  <c:v>23.45</c:v>
                </c:pt>
                <c:pt idx="477">
                  <c:v>36.75</c:v>
                </c:pt>
                <c:pt idx="478">
                  <c:v>36.5</c:v>
                </c:pt>
                <c:pt idx="479">
                  <c:v>39.65</c:v>
                </c:pt>
                <c:pt idx="480">
                  <c:v>60</c:v>
                </c:pt>
                <c:pt idx="481">
                  <c:v>98</c:v>
                </c:pt>
                <c:pt idx="482">
                  <c:v>58</c:v>
                </c:pt>
                <c:pt idx="483">
                  <c:v>27</c:v>
                </c:pt>
                <c:pt idx="484">
                  <c:v>4.7750000000000004</c:v>
                </c:pt>
                <c:pt idx="485">
                  <c:v>61.5</c:v>
                </c:pt>
                <c:pt idx="486">
                  <c:v>2.5</c:v>
                </c:pt>
                <c:pt idx="487">
                  <c:v>5</c:v>
                </c:pt>
                <c:pt idx="488">
                  <c:v>2.65</c:v>
                </c:pt>
                <c:pt idx="489">
                  <c:v>6.85</c:v>
                </c:pt>
                <c:pt idx="490">
                  <c:v>4.99</c:v>
                </c:pt>
                <c:pt idx="491">
                  <c:v>26.5</c:v>
                </c:pt>
                <c:pt idx="492">
                  <c:v>19.399999999999999</c:v>
                </c:pt>
                <c:pt idx="493">
                  <c:v>24</c:v>
                </c:pt>
                <c:pt idx="494">
                  <c:v>24</c:v>
                </c:pt>
                <c:pt idx="495">
                  <c:v>141.25</c:v>
                </c:pt>
                <c:pt idx="496">
                  <c:v>9.25</c:v>
                </c:pt>
                <c:pt idx="497">
                  <c:v>27.9</c:v>
                </c:pt>
                <c:pt idx="498">
                  <c:v>24</c:v>
                </c:pt>
                <c:pt idx="499">
                  <c:v>33</c:v>
                </c:pt>
                <c:pt idx="500">
                  <c:v>50</c:v>
                </c:pt>
                <c:pt idx="501">
                  <c:v>76.25</c:v>
                </c:pt>
                <c:pt idx="502">
                  <c:v>36.049999999999997</c:v>
                </c:pt>
                <c:pt idx="503">
                  <c:v>10.95</c:v>
                </c:pt>
                <c:pt idx="504">
                  <c:v>28.25</c:v>
                </c:pt>
                <c:pt idx="505">
                  <c:v>37.200000000000003</c:v>
                </c:pt>
                <c:pt idx="506">
                  <c:v>41</c:v>
                </c:pt>
                <c:pt idx="507">
                  <c:v>40</c:v>
                </c:pt>
                <c:pt idx="508">
                  <c:v>7.7</c:v>
                </c:pt>
                <c:pt idx="509">
                  <c:v>30.1</c:v>
                </c:pt>
                <c:pt idx="510">
                  <c:v>30.1</c:v>
                </c:pt>
                <c:pt idx="511">
                  <c:v>152</c:v>
                </c:pt>
                <c:pt idx="512">
                  <c:v>127.7</c:v>
                </c:pt>
                <c:pt idx="513">
                  <c:v>81.8</c:v>
                </c:pt>
                <c:pt idx="517">
                  <c:v>19.399999999999999</c:v>
                </c:pt>
                <c:pt idx="518">
                  <c:v>11.7</c:v>
                </c:pt>
                <c:pt idx="519">
                  <c:v>38.5</c:v>
                </c:pt>
                <c:pt idx="520">
                  <c:v>110</c:v>
                </c:pt>
                <c:pt idx="521">
                  <c:v>84.5</c:v>
                </c:pt>
                <c:pt idx="522">
                  <c:v>11.7</c:v>
                </c:pt>
                <c:pt idx="523">
                  <c:v>30.25</c:v>
                </c:pt>
                <c:pt idx="524">
                  <c:v>220</c:v>
                </c:pt>
                <c:pt idx="525">
                  <c:v>39</c:v>
                </c:pt>
                <c:pt idx="526">
                  <c:v>8.1</c:v>
                </c:pt>
                <c:pt idx="527">
                  <c:v>10.1</c:v>
                </c:pt>
                <c:pt idx="528">
                  <c:v>11.05</c:v>
                </c:pt>
                <c:pt idx="529">
                  <c:v>60.45</c:v>
                </c:pt>
                <c:pt idx="530">
                  <c:v>8</c:v>
                </c:pt>
                <c:pt idx="531">
                  <c:v>26.75</c:v>
                </c:pt>
                <c:pt idx="532">
                  <c:v>88</c:v>
                </c:pt>
                <c:pt idx="535">
                  <c:v>5.7750000000000004</c:v>
                </c:pt>
                <c:pt idx="536">
                  <c:v>23.25</c:v>
                </c:pt>
                <c:pt idx="537">
                  <c:v>25.25</c:v>
                </c:pt>
                <c:pt idx="538">
                  <c:v>0.95</c:v>
                </c:pt>
                <c:pt idx="539">
                  <c:v>24.25</c:v>
                </c:pt>
                <c:pt idx="540">
                  <c:v>20.75</c:v>
                </c:pt>
                <c:pt idx="541">
                  <c:v>2.4</c:v>
                </c:pt>
                <c:pt idx="542">
                  <c:v>5.2</c:v>
                </c:pt>
                <c:pt idx="543">
                  <c:v>3.15</c:v>
                </c:pt>
                <c:pt idx="544">
                  <c:v>5.75</c:v>
                </c:pt>
                <c:pt idx="545">
                  <c:v>2</c:v>
                </c:pt>
                <c:pt idx="546">
                  <c:v>40.5</c:v>
                </c:pt>
                <c:pt idx="547">
                  <c:v>2.4</c:v>
                </c:pt>
                <c:pt idx="548">
                  <c:v>2.4</c:v>
                </c:pt>
                <c:pt idx="549">
                  <c:v>5.9</c:v>
                </c:pt>
                <c:pt idx="550">
                  <c:v>5.9</c:v>
                </c:pt>
                <c:pt idx="551">
                  <c:v>5.0999999999999996</c:v>
                </c:pt>
                <c:pt idx="552">
                  <c:v>6.75</c:v>
                </c:pt>
                <c:pt idx="553">
                  <c:v>6.95</c:v>
                </c:pt>
                <c:pt idx="554">
                  <c:v>15.2</c:v>
                </c:pt>
                <c:pt idx="555">
                  <c:v>11</c:v>
                </c:pt>
                <c:pt idx="556">
                  <c:v>11</c:v>
                </c:pt>
                <c:pt idx="557">
                  <c:v>0.59750000000000003</c:v>
                </c:pt>
                <c:pt idx="558">
                  <c:v>1.9</c:v>
                </c:pt>
                <c:pt idx="559">
                  <c:v>2.2000000000000002</c:v>
                </c:pt>
                <c:pt idx="560">
                  <c:v>4.05</c:v>
                </c:pt>
                <c:pt idx="561">
                  <c:v>6.85</c:v>
                </c:pt>
                <c:pt idx="562">
                  <c:v>22.05</c:v>
                </c:pt>
                <c:pt idx="563">
                  <c:v>4.8499999999999996</c:v>
                </c:pt>
                <c:pt idx="564">
                  <c:v>5.375</c:v>
                </c:pt>
                <c:pt idx="565">
                  <c:v>10.050000000000001</c:v>
                </c:pt>
                <c:pt idx="566">
                  <c:v>23.2</c:v>
                </c:pt>
                <c:pt idx="567">
                  <c:v>0.57499999999999996</c:v>
                </c:pt>
                <c:pt idx="568">
                  <c:v>5.2</c:v>
                </c:pt>
                <c:pt idx="569">
                  <c:v>6.6749999999999998</c:v>
                </c:pt>
                <c:pt idx="570">
                  <c:v>4.4000000000000004</c:v>
                </c:pt>
                <c:pt idx="571">
                  <c:v>6.85</c:v>
                </c:pt>
                <c:pt idx="572">
                  <c:v>4.75</c:v>
                </c:pt>
                <c:pt idx="573">
                  <c:v>5.75</c:v>
                </c:pt>
                <c:pt idx="574">
                  <c:v>4.05</c:v>
                </c:pt>
                <c:pt idx="575">
                  <c:v>6</c:v>
                </c:pt>
                <c:pt idx="576">
                  <c:v>20.399999999999999</c:v>
                </c:pt>
                <c:pt idx="577">
                  <c:v>1.9750000000000001</c:v>
                </c:pt>
                <c:pt idx="578">
                  <c:v>1.8</c:v>
                </c:pt>
                <c:pt idx="579">
                  <c:v>0.46100000000000002</c:v>
                </c:pt>
                <c:pt idx="580">
                  <c:v>24.05</c:v>
                </c:pt>
                <c:pt idx="581">
                  <c:v>53.55</c:v>
                </c:pt>
                <c:pt idx="582">
                  <c:v>63</c:v>
                </c:pt>
                <c:pt idx="583">
                  <c:v>24</c:v>
                </c:pt>
                <c:pt idx="584">
                  <c:v>0.9</c:v>
                </c:pt>
                <c:pt idx="585">
                  <c:v>62</c:v>
                </c:pt>
                <c:pt idx="586">
                  <c:v>1.1499999999999999</c:v>
                </c:pt>
                <c:pt idx="587">
                  <c:v>58.2</c:v>
                </c:pt>
                <c:pt idx="588">
                  <c:v>5</c:v>
                </c:pt>
                <c:pt idx="589">
                  <c:v>5</c:v>
                </c:pt>
                <c:pt idx="590">
                  <c:v>1.4</c:v>
                </c:pt>
                <c:pt idx="591">
                  <c:v>21</c:v>
                </c:pt>
                <c:pt idx="592">
                  <c:v>1.405</c:v>
                </c:pt>
                <c:pt idx="593">
                  <c:v>5.65</c:v>
                </c:pt>
                <c:pt idx="594">
                  <c:v>20.55</c:v>
                </c:pt>
                <c:pt idx="595">
                  <c:v>6.75</c:v>
                </c:pt>
                <c:pt idx="596">
                  <c:v>2.4500000000000002</c:v>
                </c:pt>
                <c:pt idx="597">
                  <c:v>4.625</c:v>
                </c:pt>
                <c:pt idx="598">
                  <c:v>4.875</c:v>
                </c:pt>
                <c:pt idx="599">
                  <c:v>0.7</c:v>
                </c:pt>
                <c:pt idx="600">
                  <c:v>4.5999999999999996</c:v>
                </c:pt>
                <c:pt idx="601">
                  <c:v>4.5999999999999996</c:v>
                </c:pt>
                <c:pt idx="602">
                  <c:v>1.3</c:v>
                </c:pt>
                <c:pt idx="603">
                  <c:v>91</c:v>
                </c:pt>
                <c:pt idx="604">
                  <c:v>0.625</c:v>
                </c:pt>
                <c:pt idx="605">
                  <c:v>1.3</c:v>
                </c:pt>
                <c:pt idx="606">
                  <c:v>95.7</c:v>
                </c:pt>
                <c:pt idx="607">
                  <c:v>82.5</c:v>
                </c:pt>
                <c:pt idx="608">
                  <c:v>79.5</c:v>
                </c:pt>
                <c:pt idx="609">
                  <c:v>64.95</c:v>
                </c:pt>
                <c:pt idx="610">
                  <c:v>1.7</c:v>
                </c:pt>
                <c:pt idx="611">
                  <c:v>0.7</c:v>
                </c:pt>
                <c:pt idx="612">
                  <c:v>63</c:v>
                </c:pt>
                <c:pt idx="613">
                  <c:v>7.5</c:v>
                </c:pt>
                <c:pt idx="614">
                  <c:v>18.3</c:v>
                </c:pt>
                <c:pt idx="615">
                  <c:v>23.7</c:v>
                </c:pt>
                <c:pt idx="616">
                  <c:v>31.1</c:v>
                </c:pt>
                <c:pt idx="617">
                  <c:v>59.5</c:v>
                </c:pt>
                <c:pt idx="618">
                  <c:v>23.5</c:v>
                </c:pt>
                <c:pt idx="619">
                  <c:v>75</c:v>
                </c:pt>
                <c:pt idx="620">
                  <c:v>22.6</c:v>
                </c:pt>
                <c:pt idx="621">
                  <c:v>54</c:v>
                </c:pt>
                <c:pt idx="622">
                  <c:v>54</c:v>
                </c:pt>
                <c:pt idx="623">
                  <c:v>10.7</c:v>
                </c:pt>
                <c:pt idx="624">
                  <c:v>0.55000000000000004</c:v>
                </c:pt>
                <c:pt idx="625">
                  <c:v>86</c:v>
                </c:pt>
                <c:pt idx="626">
                  <c:v>36.5</c:v>
                </c:pt>
                <c:pt idx="627">
                  <c:v>5.75</c:v>
                </c:pt>
                <c:pt idx="628">
                  <c:v>5.7</c:v>
                </c:pt>
                <c:pt idx="629">
                  <c:v>58.95</c:v>
                </c:pt>
                <c:pt idx="630">
                  <c:v>11</c:v>
                </c:pt>
                <c:pt idx="631">
                  <c:v>2.4</c:v>
                </c:pt>
                <c:pt idx="632">
                  <c:v>58.5</c:v>
                </c:pt>
                <c:pt idx="633">
                  <c:v>25.25</c:v>
                </c:pt>
                <c:pt idx="634">
                  <c:v>28</c:v>
                </c:pt>
                <c:pt idx="635">
                  <c:v>31</c:v>
                </c:pt>
                <c:pt idx="636">
                  <c:v>80.55</c:v>
                </c:pt>
                <c:pt idx="637">
                  <c:v>72.900000000000006</c:v>
                </c:pt>
                <c:pt idx="638">
                  <c:v>31.2</c:v>
                </c:pt>
                <c:pt idx="639">
                  <c:v>27.75</c:v>
                </c:pt>
                <c:pt idx="640">
                  <c:v>28.5</c:v>
                </c:pt>
                <c:pt idx="641">
                  <c:v>84.55</c:v>
                </c:pt>
                <c:pt idx="642">
                  <c:v>0.42499999999999999</c:v>
                </c:pt>
                <c:pt idx="643">
                  <c:v>28</c:v>
                </c:pt>
                <c:pt idx="644">
                  <c:v>39</c:v>
                </c:pt>
                <c:pt idx="645">
                  <c:v>28</c:v>
                </c:pt>
                <c:pt idx="646">
                  <c:v>38.5</c:v>
                </c:pt>
                <c:pt idx="647">
                  <c:v>38.5</c:v>
                </c:pt>
                <c:pt idx="648">
                  <c:v>0.433</c:v>
                </c:pt>
                <c:pt idx="649">
                  <c:v>28.5</c:v>
                </c:pt>
                <c:pt idx="650">
                  <c:v>28.5</c:v>
                </c:pt>
                <c:pt idx="651">
                  <c:v>38</c:v>
                </c:pt>
                <c:pt idx="652">
                  <c:v>24.5</c:v>
                </c:pt>
                <c:pt idx="653">
                  <c:v>15.2</c:v>
                </c:pt>
                <c:pt idx="654">
                  <c:v>15.05</c:v>
                </c:pt>
                <c:pt idx="655">
                  <c:v>5.8</c:v>
                </c:pt>
                <c:pt idx="656">
                  <c:v>36.85</c:v>
                </c:pt>
                <c:pt idx="657">
                  <c:v>36.85</c:v>
                </c:pt>
                <c:pt idx="658">
                  <c:v>28</c:v>
                </c:pt>
                <c:pt idx="659">
                  <c:v>39</c:v>
                </c:pt>
                <c:pt idx="660">
                  <c:v>22.6</c:v>
                </c:pt>
                <c:pt idx="661">
                  <c:v>11.1</c:v>
                </c:pt>
                <c:pt idx="662">
                  <c:v>146.5</c:v>
                </c:pt>
                <c:pt idx="663">
                  <c:v>2.2250000000000001</c:v>
                </c:pt>
                <c:pt idx="664">
                  <c:v>82</c:v>
                </c:pt>
                <c:pt idx="665">
                  <c:v>23</c:v>
                </c:pt>
                <c:pt idx="666">
                  <c:v>27.5</c:v>
                </c:pt>
                <c:pt idx="667">
                  <c:v>11.45</c:v>
                </c:pt>
                <c:pt idx="668">
                  <c:v>84</c:v>
                </c:pt>
                <c:pt idx="669">
                  <c:v>143</c:v>
                </c:pt>
                <c:pt idx="670">
                  <c:v>28</c:v>
                </c:pt>
                <c:pt idx="671">
                  <c:v>39</c:v>
                </c:pt>
                <c:pt idx="672">
                  <c:v>59.75</c:v>
                </c:pt>
                <c:pt idx="673">
                  <c:v>135.85</c:v>
                </c:pt>
                <c:pt idx="674">
                  <c:v>138</c:v>
                </c:pt>
                <c:pt idx="675">
                  <c:v>2.62</c:v>
                </c:pt>
                <c:pt idx="676">
                  <c:v>79.900000000000006</c:v>
                </c:pt>
                <c:pt idx="677">
                  <c:v>77.900000000000006</c:v>
                </c:pt>
                <c:pt idx="678">
                  <c:v>34.5</c:v>
                </c:pt>
                <c:pt idx="679">
                  <c:v>3.3</c:v>
                </c:pt>
                <c:pt idx="680">
                  <c:v>19.2</c:v>
                </c:pt>
                <c:pt idx="681">
                  <c:v>1.6</c:v>
                </c:pt>
                <c:pt idx="682">
                  <c:v>1.6</c:v>
                </c:pt>
                <c:pt idx="683">
                  <c:v>30</c:v>
                </c:pt>
                <c:pt idx="684">
                  <c:v>15.35</c:v>
                </c:pt>
              </c:numCache>
            </c:numRef>
          </c:xVal>
          <c:yVal>
            <c:numRef>
              <c:f>CMOS!$V$2:$V$1635</c:f>
              <c:numCache>
                <c:formatCode>0.00</c:formatCode>
                <c:ptCount val="1634"/>
                <c:pt idx="1">
                  <c:v>#N/A</c:v>
                </c:pt>
                <c:pt idx="2">
                  <c:v>-6.9477604442831478</c:v>
                </c:pt>
                <c:pt idx="3">
                  <c:v>-8.0474818817952958</c:v>
                </c:pt>
                <c:pt idx="4">
                  <c:v>#N/A</c:v>
                </c:pt>
                <c:pt idx="5">
                  <c:v>-10.333397576022957</c:v>
                </c:pt>
                <c:pt idx="6">
                  <c:v>-7.9966872403203082</c:v>
                </c:pt>
                <c:pt idx="7">
                  <c:v>-8.6591060599606688</c:v>
                </c:pt>
                <c:pt idx="8">
                  <c:v>#N/A</c:v>
                </c:pt>
                <c:pt idx="9">
                  <c:v>#N/A</c:v>
                </c:pt>
                <c:pt idx="10">
                  <c:v>#N/A</c:v>
                </c:pt>
                <c:pt idx="11">
                  <c:v>#N/A</c:v>
                </c:pt>
                <c:pt idx="12">
                  <c:v>#N/A</c:v>
                </c:pt>
                <c:pt idx="13">
                  <c:v>#N/A</c:v>
                </c:pt>
                <c:pt idx="14">
                  <c:v>-14.084233069335156</c:v>
                </c:pt>
                <c:pt idx="15">
                  <c:v>-18.262241209589277</c:v>
                </c:pt>
                <c:pt idx="16">
                  <c:v>#N/A</c:v>
                </c:pt>
                <c:pt idx="17">
                  <c:v>#N/A</c:v>
                </c:pt>
                <c:pt idx="18">
                  <c:v>#N/A</c:v>
                </c:pt>
                <c:pt idx="19">
                  <c:v>-6.2474845527732628</c:v>
                </c:pt>
                <c:pt idx="20">
                  <c:v>#N/A</c:v>
                </c:pt>
                <c:pt idx="21">
                  <c:v>#N/A</c:v>
                </c:pt>
                <c:pt idx="22">
                  <c:v>-9.2382091322907804</c:v>
                </c:pt>
                <c:pt idx="23">
                  <c:v>-11.66530402391404</c:v>
                </c:pt>
                <c:pt idx="24">
                  <c:v>#N/A</c:v>
                </c:pt>
                <c:pt idx="25">
                  <c:v>-22.93073481851777</c:v>
                </c:pt>
                <c:pt idx="26">
                  <c:v>#N/A</c:v>
                </c:pt>
                <c:pt idx="27">
                  <c:v>#N/A</c:v>
                </c:pt>
                <c:pt idx="28">
                  <c:v>#N/A</c:v>
                </c:pt>
                <c:pt idx="29">
                  <c:v>-19.651457902767177</c:v>
                </c:pt>
                <c:pt idx="30">
                  <c:v>-9.6771748833015305</c:v>
                </c:pt>
                <c:pt idx="31">
                  <c:v>-14.38082968543474</c:v>
                </c:pt>
                <c:pt idx="32">
                  <c:v>-16.781015999964119</c:v>
                </c:pt>
                <c:pt idx="33">
                  <c:v>-16.632524888966742</c:v>
                </c:pt>
                <c:pt idx="34">
                  <c:v>-14.476939103974633</c:v>
                </c:pt>
                <c:pt idx="35">
                  <c:v>-17.338615364037594</c:v>
                </c:pt>
                <c:pt idx="36">
                  <c:v>-11.476177008940741</c:v>
                </c:pt>
                <c:pt idx="37">
                  <c:v>-12.252667561079956</c:v>
                </c:pt>
                <c:pt idx="38">
                  <c:v>-17.461497033800107</c:v>
                </c:pt>
                <c:pt idx="39">
                  <c:v>-16.323827528912329</c:v>
                </c:pt>
                <c:pt idx="40">
                  <c:v>#N/A</c:v>
                </c:pt>
                <c:pt idx="41">
                  <c:v>#N/A</c:v>
                </c:pt>
                <c:pt idx="42">
                  <c:v>-16.343373387092587</c:v>
                </c:pt>
                <c:pt idx="43">
                  <c:v>-15.218982462304835</c:v>
                </c:pt>
                <c:pt idx="44">
                  <c:v>-12.465644151583097</c:v>
                </c:pt>
                <c:pt idx="45">
                  <c:v>#N/A</c:v>
                </c:pt>
                <c:pt idx="46">
                  <c:v>#N/A</c:v>
                </c:pt>
                <c:pt idx="47">
                  <c:v>#N/A</c:v>
                </c:pt>
                <c:pt idx="48">
                  <c:v>#N/A</c:v>
                </c:pt>
                <c:pt idx="49">
                  <c:v>#N/A</c:v>
                </c:pt>
                <c:pt idx="50">
                  <c:v>#N/A</c:v>
                </c:pt>
                <c:pt idx="51">
                  <c:v>#N/A</c:v>
                </c:pt>
                <c:pt idx="52">
                  <c:v>#N/A</c:v>
                </c:pt>
                <c:pt idx="53">
                  <c:v>-13.633710349697347</c:v>
                </c:pt>
                <c:pt idx="54">
                  <c:v>-10.936842974822046</c:v>
                </c:pt>
                <c:pt idx="55">
                  <c:v>#N/A</c:v>
                </c:pt>
                <c:pt idx="56">
                  <c:v>-11.372047928198889</c:v>
                </c:pt>
                <c:pt idx="57">
                  <c:v>-15.077178464767929</c:v>
                </c:pt>
                <c:pt idx="58">
                  <c:v>-17.659361981934797</c:v>
                </c:pt>
                <c:pt idx="59">
                  <c:v>#N/A</c:v>
                </c:pt>
                <c:pt idx="60">
                  <c:v>#N/A</c:v>
                </c:pt>
                <c:pt idx="61">
                  <c:v>#N/A</c:v>
                </c:pt>
                <c:pt idx="62">
                  <c:v>#N/A</c:v>
                </c:pt>
                <c:pt idx="63">
                  <c:v>-15.401145372810333</c:v>
                </c:pt>
                <c:pt idx="64">
                  <c:v>-14.73741429020323</c:v>
                </c:pt>
                <c:pt idx="65">
                  <c:v>-21.48370909984148</c:v>
                </c:pt>
                <c:pt idx="66">
                  <c:v>-22.881406779456523</c:v>
                </c:pt>
                <c:pt idx="67">
                  <c:v>-24.599975123617732</c:v>
                </c:pt>
                <c:pt idx="68">
                  <c:v>-17.388086135465848</c:v>
                </c:pt>
                <c:pt idx="69">
                  <c:v>#N/A</c:v>
                </c:pt>
                <c:pt idx="70">
                  <c:v>-16.659326551397399</c:v>
                </c:pt>
                <c:pt idx="71">
                  <c:v>-13.357719434342943</c:v>
                </c:pt>
                <c:pt idx="72">
                  <c:v>#N/A</c:v>
                </c:pt>
                <c:pt idx="73">
                  <c:v>#N/A</c:v>
                </c:pt>
                <c:pt idx="74">
                  <c:v>-15.162696507251088</c:v>
                </c:pt>
                <c:pt idx="75">
                  <c:v>-15.14650083722092</c:v>
                </c:pt>
                <c:pt idx="76">
                  <c:v>-14.055975065051229</c:v>
                </c:pt>
                <c:pt idx="77">
                  <c:v>#N/A</c:v>
                </c:pt>
                <c:pt idx="78">
                  <c:v>#N/A</c:v>
                </c:pt>
                <c:pt idx="79">
                  <c:v>#N/A</c:v>
                </c:pt>
                <c:pt idx="80">
                  <c:v>#N/A</c:v>
                </c:pt>
                <c:pt idx="81">
                  <c:v>#N/A</c:v>
                </c:pt>
                <c:pt idx="82">
                  <c:v>#N/A</c:v>
                </c:pt>
                <c:pt idx="83">
                  <c:v>#N/A</c:v>
                </c:pt>
                <c:pt idx="84">
                  <c:v>#N/A</c:v>
                </c:pt>
                <c:pt idx="85">
                  <c:v>-13.720679792749042</c:v>
                </c:pt>
                <c:pt idx="86">
                  <c:v>-7.6743662984474783</c:v>
                </c:pt>
                <c:pt idx="87">
                  <c:v>-7.9384767642582172</c:v>
                </c:pt>
                <c:pt idx="88">
                  <c:v>-17.363128497402993</c:v>
                </c:pt>
                <c:pt idx="89">
                  <c:v>-12.862035151018809</c:v>
                </c:pt>
                <c:pt idx="90">
                  <c:v>#N/A</c:v>
                </c:pt>
                <c:pt idx="91">
                  <c:v>#N/A</c:v>
                </c:pt>
                <c:pt idx="92">
                  <c:v>-12.453726037091805</c:v>
                </c:pt>
                <c:pt idx="93">
                  <c:v>#N/A</c:v>
                </c:pt>
                <c:pt idx="94">
                  <c:v>-12.201756473661353</c:v>
                </c:pt>
                <c:pt idx="95">
                  <c:v>-19.389665640101803</c:v>
                </c:pt>
                <c:pt idx="96">
                  <c:v>#N/A</c:v>
                </c:pt>
                <c:pt idx="97">
                  <c:v>-20.329008474228768</c:v>
                </c:pt>
                <c:pt idx="98">
                  <c:v>#N/A</c:v>
                </c:pt>
                <c:pt idx="99">
                  <c:v>-12.125477156762104</c:v>
                </c:pt>
                <c:pt idx="100">
                  <c:v>-16.271710000280311</c:v>
                </c:pt>
                <c:pt idx="101">
                  <c:v>-16.915037991546104</c:v>
                </c:pt>
                <c:pt idx="102">
                  <c:v>#N/A</c:v>
                </c:pt>
                <c:pt idx="103">
                  <c:v>-10.368346037678105</c:v>
                </c:pt>
                <c:pt idx="104">
                  <c:v>#N/A</c:v>
                </c:pt>
                <c:pt idx="105">
                  <c:v>#N/A</c:v>
                </c:pt>
                <c:pt idx="106">
                  <c:v>-26.929631473769806</c:v>
                </c:pt>
                <c:pt idx="107">
                  <c:v>-18.558041473870073</c:v>
                </c:pt>
                <c:pt idx="108">
                  <c:v>#N/A</c:v>
                </c:pt>
                <c:pt idx="109">
                  <c:v>-28.965721139384751</c:v>
                </c:pt>
                <c:pt idx="110">
                  <c:v>-18.407506777623446</c:v>
                </c:pt>
                <c:pt idx="111">
                  <c:v>#N/A</c:v>
                </c:pt>
                <c:pt idx="112">
                  <c:v>-22.114408122327944</c:v>
                </c:pt>
                <c:pt idx="113">
                  <c:v>-20.889689388035052</c:v>
                </c:pt>
                <c:pt idx="114">
                  <c:v>-21.758357306912067</c:v>
                </c:pt>
                <c:pt idx="115">
                  <c:v>-20.221427164349102</c:v>
                </c:pt>
                <c:pt idx="116">
                  <c:v>#N/A</c:v>
                </c:pt>
                <c:pt idx="117">
                  <c:v>#N/A</c:v>
                </c:pt>
                <c:pt idx="118">
                  <c:v>-21.924833180264191</c:v>
                </c:pt>
                <c:pt idx="119">
                  <c:v>-22.022251038835755</c:v>
                </c:pt>
                <c:pt idx="120">
                  <c:v>-24.153444823722609</c:v>
                </c:pt>
                <c:pt idx="121">
                  <c:v>-16.601865358936593</c:v>
                </c:pt>
                <c:pt idx="122">
                  <c:v>-20.027338295388173</c:v>
                </c:pt>
                <c:pt idx="123">
                  <c:v>#N/A</c:v>
                </c:pt>
                <c:pt idx="124">
                  <c:v>-17.328095089041419</c:v>
                </c:pt>
                <c:pt idx="125">
                  <c:v>-17.37827024864454</c:v>
                </c:pt>
                <c:pt idx="126">
                  <c:v>-17.003858922125108</c:v>
                </c:pt>
                <c:pt idx="127">
                  <c:v>-18.912252956994976</c:v>
                </c:pt>
                <c:pt idx="128">
                  <c:v>-14.468069719008012</c:v>
                </c:pt>
                <c:pt idx="129">
                  <c:v>-17.029406491933393</c:v>
                </c:pt>
                <c:pt idx="130">
                  <c:v>#N/A</c:v>
                </c:pt>
                <c:pt idx="131">
                  <c:v>-16.008419807700601</c:v>
                </c:pt>
                <c:pt idx="132">
                  <c:v>#N/A</c:v>
                </c:pt>
                <c:pt idx="133">
                  <c:v>#N/A</c:v>
                </c:pt>
                <c:pt idx="134">
                  <c:v>#N/A</c:v>
                </c:pt>
                <c:pt idx="135">
                  <c:v>-16.415135723992091</c:v>
                </c:pt>
                <c:pt idx="136">
                  <c:v>-17.178293298505412</c:v>
                </c:pt>
                <c:pt idx="137">
                  <c:v>#N/A</c:v>
                </c:pt>
                <c:pt idx="138">
                  <c:v>-17.126953861931792</c:v>
                </c:pt>
                <c:pt idx="139">
                  <c:v>-17.145008549264304</c:v>
                </c:pt>
                <c:pt idx="140">
                  <c:v>-11.588956090305626</c:v>
                </c:pt>
                <c:pt idx="141">
                  <c:v>-31.70613666247203</c:v>
                </c:pt>
                <c:pt idx="142">
                  <c:v>-33.487268895069001</c:v>
                </c:pt>
                <c:pt idx="143">
                  <c:v>-14.37476428280036</c:v>
                </c:pt>
                <c:pt idx="144">
                  <c:v>-15.050574846316223</c:v>
                </c:pt>
                <c:pt idx="145">
                  <c:v>#N/A</c:v>
                </c:pt>
                <c:pt idx="146">
                  <c:v>#N/A</c:v>
                </c:pt>
                <c:pt idx="147">
                  <c:v>#N/A</c:v>
                </c:pt>
                <c:pt idx="148">
                  <c:v>#N/A</c:v>
                </c:pt>
                <c:pt idx="149">
                  <c:v>#N/A</c:v>
                </c:pt>
                <c:pt idx="150">
                  <c:v>#N/A</c:v>
                </c:pt>
                <c:pt idx="151">
                  <c:v>#N/A</c:v>
                </c:pt>
                <c:pt idx="152">
                  <c:v>#N/A</c:v>
                </c:pt>
                <c:pt idx="153">
                  <c:v>#N/A</c:v>
                </c:pt>
                <c:pt idx="154">
                  <c:v>#N/A</c:v>
                </c:pt>
                <c:pt idx="155">
                  <c:v>-24.96779536747292</c:v>
                </c:pt>
                <c:pt idx="156">
                  <c:v>-21.733010674972029</c:v>
                </c:pt>
                <c:pt idx="157">
                  <c:v>-13.748833233245271</c:v>
                </c:pt>
                <c:pt idx="158">
                  <c:v>#N/A</c:v>
                </c:pt>
                <c:pt idx="159">
                  <c:v>#N/A</c:v>
                </c:pt>
                <c:pt idx="160">
                  <c:v>-14.526367382881862</c:v>
                </c:pt>
                <c:pt idx="161">
                  <c:v>-14.308794944106983</c:v>
                </c:pt>
                <c:pt idx="162">
                  <c:v>-12.981474987500324</c:v>
                </c:pt>
                <c:pt idx="163">
                  <c:v>-8.697436433012415</c:v>
                </c:pt>
                <c:pt idx="164">
                  <c:v>-21.748179361473426</c:v>
                </c:pt>
                <c:pt idx="165">
                  <c:v>-15.508066332317425</c:v>
                </c:pt>
                <c:pt idx="166">
                  <c:v>-12.89822257269485</c:v>
                </c:pt>
                <c:pt idx="167">
                  <c:v>-11.121861429885191</c:v>
                </c:pt>
                <c:pt idx="168">
                  <c:v>-12.026780164369406</c:v>
                </c:pt>
                <c:pt idx="169">
                  <c:v>-24.063512053616538</c:v>
                </c:pt>
                <c:pt idx="170">
                  <c:v>-12.281475558094693</c:v>
                </c:pt>
                <c:pt idx="171">
                  <c:v>-11.601853453166493</c:v>
                </c:pt>
                <c:pt idx="172">
                  <c:v>-11.601853453166493</c:v>
                </c:pt>
                <c:pt idx="173">
                  <c:v>#N/A</c:v>
                </c:pt>
                <c:pt idx="174">
                  <c:v>#N/A</c:v>
                </c:pt>
                <c:pt idx="175">
                  <c:v>-19.447793805920533</c:v>
                </c:pt>
                <c:pt idx="176">
                  <c:v>-26.156686845809741</c:v>
                </c:pt>
                <c:pt idx="177">
                  <c:v>-28.509601211529308</c:v>
                </c:pt>
                <c:pt idx="178">
                  <c:v>-14.187243198917145</c:v>
                </c:pt>
                <c:pt idx="179">
                  <c:v>-12.099001310708299</c:v>
                </c:pt>
                <c:pt idx="180">
                  <c:v>-17.782378620379561</c:v>
                </c:pt>
                <c:pt idx="181">
                  <c:v>-13.151819058129883</c:v>
                </c:pt>
                <c:pt idx="182">
                  <c:v>#N/A</c:v>
                </c:pt>
                <c:pt idx="183">
                  <c:v>-17.722795469867101</c:v>
                </c:pt>
                <c:pt idx="184">
                  <c:v>-16.262337649336082</c:v>
                </c:pt>
                <c:pt idx="185">
                  <c:v>-24.270821784083509</c:v>
                </c:pt>
                <c:pt idx="186">
                  <c:v>#N/A</c:v>
                </c:pt>
                <c:pt idx="187">
                  <c:v>#N/A</c:v>
                </c:pt>
                <c:pt idx="188">
                  <c:v>#N/A</c:v>
                </c:pt>
                <c:pt idx="190">
                  <c:v>-12.386075243415355</c:v>
                </c:pt>
                <c:pt idx="191">
                  <c:v>#N/A</c:v>
                </c:pt>
                <c:pt idx="192">
                  <c:v>#N/A</c:v>
                </c:pt>
                <c:pt idx="193">
                  <c:v>#N/A</c:v>
                </c:pt>
                <c:pt idx="194">
                  <c:v>#N/A</c:v>
                </c:pt>
                <c:pt idx="195">
                  <c:v>-12.029778420320179</c:v>
                </c:pt>
                <c:pt idx="196">
                  <c:v>#N/A</c:v>
                </c:pt>
                <c:pt idx="197">
                  <c:v>#N/A</c:v>
                </c:pt>
                <c:pt idx="198">
                  <c:v>#N/A</c:v>
                </c:pt>
                <c:pt idx="199">
                  <c:v>-6.4926408783725531</c:v>
                </c:pt>
                <c:pt idx="200">
                  <c:v>#N/A</c:v>
                </c:pt>
                <c:pt idx="201">
                  <c:v>#N/A</c:v>
                </c:pt>
                <c:pt idx="202">
                  <c:v>#N/A</c:v>
                </c:pt>
                <c:pt idx="203">
                  <c:v>#N/A</c:v>
                </c:pt>
                <c:pt idx="204">
                  <c:v>#N/A</c:v>
                </c:pt>
                <c:pt idx="205">
                  <c:v>#N/A</c:v>
                </c:pt>
                <c:pt idx="206">
                  <c:v>-13.1632694623882</c:v>
                </c:pt>
                <c:pt idx="207">
                  <c:v>-12.979177859935236</c:v>
                </c:pt>
                <c:pt idx="208">
                  <c:v>#N/A</c:v>
                </c:pt>
                <c:pt idx="209">
                  <c:v>-15.919017864512742</c:v>
                </c:pt>
                <c:pt idx="210">
                  <c:v>-15.695593816971892</c:v>
                </c:pt>
                <c:pt idx="211">
                  <c:v>-16.436854472900468</c:v>
                </c:pt>
                <c:pt idx="212">
                  <c:v>#N/A</c:v>
                </c:pt>
                <c:pt idx="213">
                  <c:v>-14.028051940398354</c:v>
                </c:pt>
                <c:pt idx="214">
                  <c:v>-13.847746179416113</c:v>
                </c:pt>
                <c:pt idx="215">
                  <c:v>#N/A</c:v>
                </c:pt>
                <c:pt idx="216">
                  <c:v>#N/A</c:v>
                </c:pt>
                <c:pt idx="217">
                  <c:v>-14.936500748110447</c:v>
                </c:pt>
                <c:pt idx="218">
                  <c:v>#N/A</c:v>
                </c:pt>
                <c:pt idx="219">
                  <c:v>-11.943318507764999</c:v>
                </c:pt>
                <c:pt idx="220">
                  <c:v>#N/A</c:v>
                </c:pt>
                <c:pt idx="221">
                  <c:v>#N/A</c:v>
                </c:pt>
                <c:pt idx="222">
                  <c:v>#N/A</c:v>
                </c:pt>
                <c:pt idx="223">
                  <c:v>#N/A</c:v>
                </c:pt>
                <c:pt idx="224">
                  <c:v>#N/A</c:v>
                </c:pt>
                <c:pt idx="225">
                  <c:v>-6.0004269986771632</c:v>
                </c:pt>
                <c:pt idx="226">
                  <c:v>#N/A</c:v>
                </c:pt>
                <c:pt idx="227">
                  <c:v>#N/A</c:v>
                </c:pt>
                <c:pt idx="228">
                  <c:v>#N/A</c:v>
                </c:pt>
                <c:pt idx="229">
                  <c:v>#N/A</c:v>
                </c:pt>
                <c:pt idx="230">
                  <c:v>#N/A</c:v>
                </c:pt>
                <c:pt idx="231">
                  <c:v>-15.105413563367412</c:v>
                </c:pt>
                <c:pt idx="232">
                  <c:v>-13.756632669517995</c:v>
                </c:pt>
                <c:pt idx="233">
                  <c:v>#N/A</c:v>
                </c:pt>
                <c:pt idx="234">
                  <c:v>#N/A</c:v>
                </c:pt>
                <c:pt idx="235">
                  <c:v>#N/A</c:v>
                </c:pt>
                <c:pt idx="236">
                  <c:v>-22.706805501668427</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-12.04747417565423</c:v>
                </c:pt>
                <c:pt idx="250">
                  <c:v>#N/A</c:v>
                </c:pt>
                <c:pt idx="251">
                  <c:v>#N/A</c:v>
                </c:pt>
                <c:pt idx="252">
                  <c:v>#N/A</c:v>
                </c:pt>
                <c:pt idx="253">
                  <c:v>#N/A</c:v>
                </c:pt>
                <c:pt idx="254">
                  <c:v>#N/A</c:v>
                </c:pt>
                <c:pt idx="255">
                  <c:v>-23.561630401441388</c:v>
                </c:pt>
                <c:pt idx="256">
                  <c:v>#N/A</c:v>
                </c:pt>
                <c:pt idx="257">
                  <c:v>#N/A</c:v>
                </c:pt>
                <c:pt idx="258">
                  <c:v>#N/A</c:v>
                </c:pt>
                <c:pt idx="259">
                  <c:v>-20.080584637352974</c:v>
                </c:pt>
                <c:pt idx="260">
                  <c:v>-20.206825609135226</c:v>
                </c:pt>
                <c:pt idx="261">
                  <c:v>-14.660628493687904</c:v>
                </c:pt>
                <c:pt idx="262">
                  <c:v>#N/A</c:v>
                </c:pt>
                <c:pt idx="263">
                  <c:v>#N/A</c:v>
                </c:pt>
                <c:pt idx="264">
                  <c:v>#N/A</c:v>
                </c:pt>
                <c:pt idx="265">
                  <c:v>#N/A</c:v>
                </c:pt>
                <c:pt idx="266">
                  <c:v>#N/A</c:v>
                </c:pt>
                <c:pt idx="267">
                  <c:v>-10.149973001716759</c:v>
                </c:pt>
                <c:pt idx="268">
                  <c:v>#N/A</c:v>
                </c:pt>
                <c:pt idx="269">
                  <c:v>#N/A</c:v>
                </c:pt>
                <c:pt idx="270">
                  <c:v>#N/A</c:v>
                </c:pt>
                <c:pt idx="271">
                  <c:v>-9.276562699269288</c:v>
                </c:pt>
                <c:pt idx="272">
                  <c:v>-8.5587230309242184</c:v>
                </c:pt>
                <c:pt idx="273">
                  <c:v>-22.039001202568226</c:v>
                </c:pt>
                <c:pt idx="274">
                  <c:v>-24.671895946805545</c:v>
                </c:pt>
                <c:pt idx="275">
                  <c:v>-18.09355245078358</c:v>
                </c:pt>
                <c:pt idx="276">
                  <c:v>-18.653186783085836</c:v>
                </c:pt>
                <c:pt idx="277">
                  <c:v>#N/A</c:v>
                </c:pt>
                <c:pt idx="278">
                  <c:v>-23.891336672592924</c:v>
                </c:pt>
                <c:pt idx="279">
                  <c:v>-14.068288345070437</c:v>
                </c:pt>
                <c:pt idx="280">
                  <c:v>-17.526504567118831</c:v>
                </c:pt>
                <c:pt idx="281">
                  <c:v>#N/A</c:v>
                </c:pt>
                <c:pt idx="282">
                  <c:v>#N/A</c:v>
                </c:pt>
                <c:pt idx="283">
                  <c:v>#N/A</c:v>
                </c:pt>
                <c:pt idx="284">
                  <c:v>#N/A</c:v>
                </c:pt>
                <c:pt idx="285">
                  <c:v>-16.368568746498401</c:v>
                </c:pt>
                <c:pt idx="286">
                  <c:v>-13.267120916492033</c:v>
                </c:pt>
                <c:pt idx="287">
                  <c:v>#N/A</c:v>
                </c:pt>
                <c:pt idx="288">
                  <c:v>-19.751028563399814</c:v>
                </c:pt>
                <c:pt idx="289">
                  <c:v>#N/A</c:v>
                </c:pt>
                <c:pt idx="290">
                  <c:v>#N/A</c:v>
                </c:pt>
                <c:pt idx="291">
                  <c:v>#N/A</c:v>
                </c:pt>
                <c:pt idx="292">
                  <c:v>-15.910768279471437</c:v>
                </c:pt>
                <c:pt idx="293">
                  <c:v>-28.146380365513775</c:v>
                </c:pt>
                <c:pt idx="294">
                  <c:v>-14.746207255535227</c:v>
                </c:pt>
                <c:pt idx="295">
                  <c:v>-17.391677927281904</c:v>
                </c:pt>
                <c:pt idx="296">
                  <c:v>-16.313934037381074</c:v>
                </c:pt>
                <c:pt idx="297">
                  <c:v>-16.317587319217171</c:v>
                </c:pt>
                <c:pt idx="298">
                  <c:v>-17.032998899211563</c:v>
                </c:pt>
                <c:pt idx="299">
                  <c:v>-8.5702345217403835</c:v>
                </c:pt>
                <c:pt idx="300">
                  <c:v>-18.611999950493818</c:v>
                </c:pt>
                <c:pt idx="301">
                  <c:v>-18.446896030862643</c:v>
                </c:pt>
                <c:pt idx="302">
                  <c:v>-18.620604520475155</c:v>
                </c:pt>
                <c:pt idx="303">
                  <c:v>-19.775709702474909</c:v>
                </c:pt>
                <c:pt idx="304">
                  <c:v>-19.381529984251294</c:v>
                </c:pt>
                <c:pt idx="305">
                  <c:v>-18.307502509225706</c:v>
                </c:pt>
                <c:pt idx="306">
                  <c:v>-18.56512338734554</c:v>
                </c:pt>
                <c:pt idx="307">
                  <c:v>-21.845509701257797</c:v>
                </c:pt>
                <c:pt idx="308">
                  <c:v>-20.605012795297334</c:v>
                </c:pt>
                <c:pt idx="309">
                  <c:v>-21.0395647163296</c:v>
                </c:pt>
                <c:pt idx="310">
                  <c:v>-24.23981263689501</c:v>
                </c:pt>
                <c:pt idx="311">
                  <c:v>-24.686906353199561</c:v>
                </c:pt>
                <c:pt idx="312">
                  <c:v>#N/A</c:v>
                </c:pt>
                <c:pt idx="313">
                  <c:v>#N/A</c:v>
                </c:pt>
                <c:pt idx="315">
                  <c:v>#N/A</c:v>
                </c:pt>
                <c:pt idx="316">
                  <c:v>#N/A</c:v>
                </c:pt>
                <c:pt idx="317">
                  <c:v>#N/A</c:v>
                </c:pt>
                <c:pt idx="318">
                  <c:v>-12.386075243415355</c:v>
                </c:pt>
                <c:pt idx="319">
                  <c:v>-11.06629349121266</c:v>
                </c:pt>
                <c:pt idx="320">
                  <c:v>#N/A</c:v>
                </c:pt>
                <c:pt idx="321">
                  <c:v>#N/A</c:v>
                </c:pt>
                <c:pt idx="322">
                  <c:v>#N/A</c:v>
                </c:pt>
                <c:pt idx="323">
                  <c:v>#N/A</c:v>
                </c:pt>
                <c:pt idx="324">
                  <c:v>-15.695593816971892</c:v>
                </c:pt>
                <c:pt idx="325">
                  <c:v>-16.436854472900468</c:v>
                </c:pt>
                <c:pt idx="326">
                  <c:v>#N/A</c:v>
                </c:pt>
                <c:pt idx="327">
                  <c:v>-11.494226555244467</c:v>
                </c:pt>
                <c:pt idx="328">
                  <c:v>#N/A</c:v>
                </c:pt>
                <c:pt idx="329">
                  <c:v>-20.982121455205153</c:v>
                </c:pt>
                <c:pt idx="330">
                  <c:v>-14.334476527364085</c:v>
                </c:pt>
                <c:pt idx="331">
                  <c:v>-16.16270349948114</c:v>
                </c:pt>
                <c:pt idx="332">
                  <c:v>#N/A</c:v>
                </c:pt>
                <c:pt idx="333">
                  <c:v>#N/A</c:v>
                </c:pt>
                <c:pt idx="334">
                  <c:v>#N/A</c:v>
                </c:pt>
                <c:pt idx="335">
                  <c:v>#N/A</c:v>
                </c:pt>
                <c:pt idx="336">
                  <c:v>#N/A</c:v>
                </c:pt>
                <c:pt idx="337">
                  <c:v>-18.906984880670237</c:v>
                </c:pt>
                <c:pt idx="338">
                  <c:v>#N/A</c:v>
                </c:pt>
                <c:pt idx="339">
                  <c:v>-20.219276510563155</c:v>
                </c:pt>
                <c:pt idx="340">
                  <c:v>#N/A</c:v>
                </c:pt>
                <c:pt idx="341">
                  <c:v>#N/A</c:v>
                </c:pt>
                <c:pt idx="342">
                  <c:v>-23.891336672592924</c:v>
                </c:pt>
                <c:pt idx="343">
                  <c:v>-24.341483912269233</c:v>
                </c:pt>
                <c:pt idx="344">
                  <c:v>-16.448077941225932</c:v>
                </c:pt>
                <c:pt idx="345">
                  <c:v>-15.701933859097918</c:v>
                </c:pt>
                <c:pt idx="346">
                  <c:v>-19.254789479624929</c:v>
                </c:pt>
                <c:pt idx="347">
                  <c:v>-20.798654432244994</c:v>
                </c:pt>
                <c:pt idx="348">
                  <c:v>-17.509869707018112</c:v>
                </c:pt>
                <c:pt idx="349">
                  <c:v>-10.813654877260726</c:v>
                </c:pt>
                <c:pt idx="352">
                  <c:v>-12.122100160243281</c:v>
                </c:pt>
                <c:pt idx="353">
                  <c:v>#N/A</c:v>
                </c:pt>
                <c:pt idx="354">
                  <c:v>#N/A</c:v>
                </c:pt>
                <c:pt idx="355">
                  <c:v>#N/A</c:v>
                </c:pt>
                <c:pt idx="356">
                  <c:v>#N/A</c:v>
                </c:pt>
                <c:pt idx="357">
                  <c:v>#N/A</c:v>
                </c:pt>
                <c:pt idx="358">
                  <c:v>#N/A</c:v>
                </c:pt>
                <c:pt idx="359">
                  <c:v>#N/A</c:v>
                </c:pt>
                <c:pt idx="360">
                  <c:v>-14.921663713166083</c:v>
                </c:pt>
                <c:pt idx="361">
                  <c:v>#N/A</c:v>
                </c:pt>
                <c:pt idx="362">
                  <c:v>#N/A</c:v>
                </c:pt>
                <c:pt idx="363">
                  <c:v>#N/A</c:v>
                </c:pt>
                <c:pt idx="364">
                  <c:v>#N/A</c:v>
                </c:pt>
                <c:pt idx="365">
                  <c:v>-14.114312090400924</c:v>
                </c:pt>
                <c:pt idx="366">
                  <c:v>#N/A</c:v>
                </c:pt>
                <c:pt idx="367">
                  <c:v>#N/A</c:v>
                </c:pt>
                <c:pt idx="368">
                  <c:v>#N/A</c:v>
                </c:pt>
                <c:pt idx="369">
                  <c:v>#N/A</c:v>
                </c:pt>
                <c:pt idx="370">
                  <c:v>#N/A</c:v>
                </c:pt>
                <c:pt idx="371">
                  <c:v>#N/A</c:v>
                </c:pt>
                <c:pt idx="372">
                  <c:v>-18.219582464897449</c:v>
                </c:pt>
                <c:pt idx="373">
                  <c:v>-20.703812720301329</c:v>
                </c:pt>
                <c:pt idx="374">
                  <c:v>#N/A</c:v>
                </c:pt>
                <c:pt idx="375">
                  <c:v>#N/A</c:v>
                </c:pt>
                <c:pt idx="376">
                  <c:v>-7.8327131434281423</c:v>
                </c:pt>
                <c:pt idx="377">
                  <c:v>#N/A</c:v>
                </c:pt>
                <c:pt idx="378">
                  <c:v>#N/A</c:v>
                </c:pt>
                <c:pt idx="379">
                  <c:v>#N/A</c:v>
                </c:pt>
                <c:pt idx="380">
                  <c:v>#N/A</c:v>
                </c:pt>
                <c:pt idx="381">
                  <c:v>#N/A</c:v>
                </c:pt>
                <c:pt idx="382">
                  <c:v>#N/A</c:v>
                </c:pt>
                <c:pt idx="383">
                  <c:v>#N/A</c:v>
                </c:pt>
                <c:pt idx="384">
                  <c:v>-21.838689035921984</c:v>
                </c:pt>
                <c:pt idx="385">
                  <c:v>-18.891891335724985</c:v>
                </c:pt>
                <c:pt idx="386">
                  <c:v>#N/A</c:v>
                </c:pt>
                <c:pt idx="387">
                  <c:v>#N/A</c:v>
                </c:pt>
                <c:pt idx="388">
                  <c:v>-10.149973001716759</c:v>
                </c:pt>
                <c:pt idx="389">
                  <c:v>-14.75283567265155</c:v>
                </c:pt>
                <c:pt idx="390">
                  <c:v>#N/A</c:v>
                </c:pt>
                <c:pt idx="391">
                  <c:v>#N/A</c:v>
                </c:pt>
                <c:pt idx="392">
                  <c:v>#N/A</c:v>
                </c:pt>
                <c:pt idx="393">
                  <c:v>#N/A</c:v>
                </c:pt>
                <c:pt idx="394">
                  <c:v>#N/A</c:v>
                </c:pt>
                <c:pt idx="395">
                  <c:v>#N/A</c:v>
                </c:pt>
                <c:pt idx="396">
                  <c:v>#N/A</c:v>
                </c:pt>
                <c:pt idx="397">
                  <c:v>#N/A</c:v>
                </c:pt>
                <c:pt idx="398">
                  <c:v>#N/A</c:v>
                </c:pt>
                <c:pt idx="399">
                  <c:v>#N/A</c:v>
                </c:pt>
                <c:pt idx="400">
                  <c:v>#N/A</c:v>
                </c:pt>
                <c:pt idx="401">
                  <c:v>-16.263131024481073</c:v>
                </c:pt>
                <c:pt idx="402">
                  <c:v>#N/A</c:v>
                </c:pt>
                <c:pt idx="403">
                  <c:v>#N/A</c:v>
                </c:pt>
                <c:pt idx="404">
                  <c:v>#N/A</c:v>
                </c:pt>
                <c:pt idx="405">
                  <c:v>#N/A</c:v>
                </c:pt>
                <c:pt idx="406">
                  <c:v>#N/A</c:v>
                </c:pt>
                <c:pt idx="407">
                  <c:v>#N/A</c:v>
                </c:pt>
                <c:pt idx="408">
                  <c:v>#N/A</c:v>
                </c:pt>
                <c:pt idx="409">
                  <c:v>#N/A</c:v>
                </c:pt>
                <c:pt idx="410">
                  <c:v>-16.87527679607906</c:v>
                </c:pt>
                <c:pt idx="411">
                  <c:v>-19.580897252155459</c:v>
                </c:pt>
                <c:pt idx="412">
                  <c:v>-18.201659080656007</c:v>
                </c:pt>
                <c:pt idx="413">
                  <c:v>-13.366641579200515</c:v>
                </c:pt>
                <c:pt idx="414">
                  <c:v>-13.386287356033355</c:v>
                </c:pt>
                <c:pt idx="415">
                  <c:v>#N/A</c:v>
                </c:pt>
                <c:pt idx="416">
                  <c:v>#N/A</c:v>
                </c:pt>
                <c:pt idx="417">
                  <c:v>-19.737074267168392</c:v>
                </c:pt>
                <c:pt idx="418">
                  <c:v>-22.639545254709045</c:v>
                </c:pt>
                <c:pt idx="419">
                  <c:v>-18.504986381771509</c:v>
                </c:pt>
                <c:pt idx="420">
                  <c:v>#N/A</c:v>
                </c:pt>
                <c:pt idx="421">
                  <c:v>-21.332685530934175</c:v>
                </c:pt>
                <c:pt idx="422">
                  <c:v>#N/A</c:v>
                </c:pt>
                <c:pt idx="423">
                  <c:v>#N/A</c:v>
                </c:pt>
                <c:pt idx="424">
                  <c:v>#N/A</c:v>
                </c:pt>
                <c:pt idx="425">
                  <c:v>#N/A</c:v>
                </c:pt>
                <c:pt idx="426">
                  <c:v>-21.681097318927335</c:v>
                </c:pt>
                <c:pt idx="427">
                  <c:v>#N/A</c:v>
                </c:pt>
                <c:pt idx="428">
                  <c:v>-28.167437438926083</c:v>
                </c:pt>
                <c:pt idx="429">
                  <c:v>-16.358874744989819</c:v>
                </c:pt>
                <c:pt idx="430">
                  <c:v>-16.623759609042949</c:v>
                </c:pt>
                <c:pt idx="431">
                  <c:v>-17.947920273764652</c:v>
                </c:pt>
                <c:pt idx="432">
                  <c:v>#N/A</c:v>
                </c:pt>
                <c:pt idx="433">
                  <c:v>#N/A</c:v>
                </c:pt>
                <c:pt idx="434">
                  <c:v>-3.6063015109097449</c:v>
                </c:pt>
                <c:pt idx="435">
                  <c:v>-14.714808320833656</c:v>
                </c:pt>
                <c:pt idx="436">
                  <c:v>-10.480625789050706</c:v>
                </c:pt>
                <c:pt idx="437">
                  <c:v>-9.9370913062183099</c:v>
                </c:pt>
                <c:pt idx="438">
                  <c:v>#N/A</c:v>
                </c:pt>
                <c:pt idx="439">
                  <c:v>#N/A</c:v>
                </c:pt>
                <c:pt idx="440">
                  <c:v>-21.910748326328932</c:v>
                </c:pt>
                <c:pt idx="441">
                  <c:v>#N/A</c:v>
                </c:pt>
                <c:pt idx="442">
                  <c:v>-21.294753515510969</c:v>
                </c:pt>
                <c:pt idx="443">
                  <c:v>-20.896080932660837</c:v>
                </c:pt>
                <c:pt idx="444">
                  <c:v>-22.494604210308236</c:v>
                </c:pt>
                <c:pt idx="445">
                  <c:v>-23.961034095678553</c:v>
                </c:pt>
                <c:pt idx="446">
                  <c:v>-22.309859604372384</c:v>
                </c:pt>
                <c:pt idx="447">
                  <c:v>-15.186618465937871</c:v>
                </c:pt>
                <c:pt idx="448">
                  <c:v>-19.447793805920533</c:v>
                </c:pt>
                <c:pt idx="449">
                  <c:v>-27.981247671561228</c:v>
                </c:pt>
                <c:pt idx="450">
                  <c:v>-23.363512053616539</c:v>
                </c:pt>
                <c:pt idx="451">
                  <c:v>#N/A</c:v>
                </c:pt>
                <c:pt idx="452">
                  <c:v>#N/A</c:v>
                </c:pt>
                <c:pt idx="453">
                  <c:v>-13.722968403288785</c:v>
                </c:pt>
                <c:pt idx="454">
                  <c:v>-17.271124162980893</c:v>
                </c:pt>
                <c:pt idx="455">
                  <c:v>#N/A</c:v>
                </c:pt>
                <c:pt idx="456">
                  <c:v>-16.341329969055856</c:v>
                </c:pt>
                <c:pt idx="457">
                  <c:v>-16.516270580619754</c:v>
                </c:pt>
                <c:pt idx="458">
                  <c:v>-13.065334061043274</c:v>
                </c:pt>
                <c:pt idx="459">
                  <c:v>#N/A</c:v>
                </c:pt>
                <c:pt idx="461">
                  <c:v>#N/A</c:v>
                </c:pt>
                <c:pt idx="462">
                  <c:v>-11.711350413736499</c:v>
                </c:pt>
                <c:pt idx="463">
                  <c:v>#N/A</c:v>
                </c:pt>
                <c:pt idx="464">
                  <c:v>#N/A</c:v>
                </c:pt>
                <c:pt idx="465">
                  <c:v>-10.381243699854203</c:v>
                </c:pt>
                <c:pt idx="466">
                  <c:v>-12.667685989994819</c:v>
                </c:pt>
                <c:pt idx="467">
                  <c:v>#N/A</c:v>
                </c:pt>
                <c:pt idx="468">
                  <c:v>#N/A</c:v>
                </c:pt>
                <c:pt idx="469">
                  <c:v>-14.980982432634399</c:v>
                </c:pt>
                <c:pt idx="470">
                  <c:v>#N/A</c:v>
                </c:pt>
                <c:pt idx="471">
                  <c:v>#N/A</c:v>
                </c:pt>
                <c:pt idx="472">
                  <c:v>-18.487027353524162</c:v>
                </c:pt>
                <c:pt idx="473">
                  <c:v>-17.243295415134618</c:v>
                </c:pt>
                <c:pt idx="474">
                  <c:v>#N/A</c:v>
                </c:pt>
                <c:pt idx="475">
                  <c:v>-16.313489861825062</c:v>
                </c:pt>
                <c:pt idx="476">
                  <c:v>#N/A</c:v>
                </c:pt>
                <c:pt idx="477">
                  <c:v>-15.119168467525217</c:v>
                </c:pt>
                <c:pt idx="478">
                  <c:v>-14.055975065051229</c:v>
                </c:pt>
                <c:pt idx="479">
                  <c:v>-15.745733954397465</c:v>
                </c:pt>
                <c:pt idx="480">
                  <c:v>#N/A</c:v>
                </c:pt>
                <c:pt idx="481">
                  <c:v>-22.535893173979204</c:v>
                </c:pt>
                <c:pt idx="482">
                  <c:v>#N/A</c:v>
                </c:pt>
                <c:pt idx="483">
                  <c:v>-19.254328029635076</c:v>
                </c:pt>
                <c:pt idx="484">
                  <c:v>-13.023135312717995</c:v>
                </c:pt>
                <c:pt idx="485">
                  <c:v>-18.3931255954116</c:v>
                </c:pt>
                <c:pt idx="486">
                  <c:v>-15.492621488164257</c:v>
                </c:pt>
                <c:pt idx="487">
                  <c:v>-6.5074407187612371</c:v>
                </c:pt>
                <c:pt idx="488">
                  <c:v>-14.839464226884864</c:v>
                </c:pt>
                <c:pt idx="489">
                  <c:v>#N/A</c:v>
                </c:pt>
                <c:pt idx="490">
                  <c:v>-10.101572420461098</c:v>
                </c:pt>
                <c:pt idx="491">
                  <c:v>#N/A</c:v>
                </c:pt>
                <c:pt idx="492">
                  <c:v>-12.171001422462711</c:v>
                </c:pt>
                <c:pt idx="493">
                  <c:v>#N/A</c:v>
                </c:pt>
                <c:pt idx="494">
                  <c:v>#N/A</c:v>
                </c:pt>
                <c:pt idx="495">
                  <c:v>-25.699562532749965</c:v>
                </c:pt>
                <c:pt idx="496">
                  <c:v>-19.751028563399814</c:v>
                </c:pt>
                <c:pt idx="497">
                  <c:v>#N/A</c:v>
                </c:pt>
                <c:pt idx="498">
                  <c:v>-27.930772698220942</c:v>
                </c:pt>
                <c:pt idx="499">
                  <c:v>-25.732413134485181</c:v>
                </c:pt>
                <c:pt idx="500">
                  <c:v>-27.912006713419579</c:v>
                </c:pt>
                <c:pt idx="501">
                  <c:v>#N/A</c:v>
                </c:pt>
                <c:pt idx="502">
                  <c:v>#N/A</c:v>
                </c:pt>
                <c:pt idx="503">
                  <c:v>#N/A</c:v>
                </c:pt>
                <c:pt idx="504">
                  <c:v>-18.251673838340022</c:v>
                </c:pt>
                <c:pt idx="505">
                  <c:v>-18.086592212585224</c:v>
                </c:pt>
                <c:pt idx="506">
                  <c:v>-19.139246061270057</c:v>
                </c:pt>
                <c:pt idx="507">
                  <c:v>-19.17855049835487</c:v>
                </c:pt>
                <c:pt idx="508">
                  <c:v>-12.882202959240342</c:v>
                </c:pt>
                <c:pt idx="509">
                  <c:v>-20.035229989185638</c:v>
                </c:pt>
                <c:pt idx="510">
                  <c:v>-19.538204931600529</c:v>
                </c:pt>
                <c:pt idx="511">
                  <c:v>-25.307316083613895</c:v>
                </c:pt>
                <c:pt idx="512">
                  <c:v>-24.188781252432964</c:v>
                </c:pt>
                <c:pt idx="513">
                  <c:v>-22.413220993422026</c:v>
                </c:pt>
                <c:pt idx="514">
                  <c:v>#N/A</c:v>
                </c:pt>
                <c:pt idx="515">
                  <c:v>#N/A</c:v>
                </c:pt>
                <c:pt idx="516">
                  <c:v>#N/A</c:v>
                </c:pt>
                <c:pt idx="517">
                  <c:v>-10.563953164711554</c:v>
                </c:pt>
                <c:pt idx="518">
                  <c:v>-13.25340773814882</c:v>
                </c:pt>
                <c:pt idx="519">
                  <c:v>-17.311860369358261</c:v>
                </c:pt>
                <c:pt idx="520">
                  <c:v>#N/A</c:v>
                </c:pt>
                <c:pt idx="521">
                  <c:v>-21.523810167820972</c:v>
                </c:pt>
                <c:pt idx="522">
                  <c:v>-13.30415697211272</c:v>
                </c:pt>
                <c:pt idx="523">
                  <c:v>#N/A</c:v>
                </c:pt>
                <c:pt idx="524">
                  <c:v>-26.028571522167478</c:v>
                </c:pt>
                <c:pt idx="525">
                  <c:v>-19.175026125384132</c:v>
                </c:pt>
                <c:pt idx="526">
                  <c:v>-19.6117979666476</c:v>
                </c:pt>
                <c:pt idx="527">
                  <c:v>-13.901054378758735</c:v>
                </c:pt>
                <c:pt idx="528">
                  <c:v>-19.050217591404085</c:v>
                </c:pt>
                <c:pt idx="529">
                  <c:v>-16.256338269539526</c:v>
                </c:pt>
                <c:pt idx="530">
                  <c:v>-18.096422701747027</c:v>
                </c:pt>
                <c:pt idx="531">
                  <c:v>-26.077878813956868</c:v>
                </c:pt>
                <c:pt idx="532">
                  <c:v>#N/A</c:v>
                </c:pt>
                <c:pt idx="535">
                  <c:v>-13.75106005656928</c:v>
                </c:pt>
                <c:pt idx="536">
                  <c:v>-18.363763596926599</c:v>
                </c:pt>
                <c:pt idx="537">
                  <c:v>-21.500135464451041</c:v>
                </c:pt>
                <c:pt idx="538">
                  <c:v>#N/A</c:v>
                </c:pt>
                <c:pt idx="539">
                  <c:v>-12.090975482610437</c:v>
                </c:pt>
                <c:pt idx="540">
                  <c:v>-14.79233426730371</c:v>
                </c:pt>
                <c:pt idx="541">
                  <c:v>-12.639808276724299</c:v>
                </c:pt>
                <c:pt idx="542">
                  <c:v>-13.575405139559686</c:v>
                </c:pt>
                <c:pt idx="543">
                  <c:v>-15.768303241394515</c:v>
                </c:pt>
                <c:pt idx="544">
                  <c:v>-7.0913264740372313</c:v>
                </c:pt>
                <c:pt idx="545">
                  <c:v>#N/A</c:v>
                </c:pt>
                <c:pt idx="546">
                  <c:v>-17.409153257932953</c:v>
                </c:pt>
                <c:pt idx="547">
                  <c:v>#N/A</c:v>
                </c:pt>
                <c:pt idx="548">
                  <c:v>#N/A</c:v>
                </c:pt>
                <c:pt idx="549">
                  <c:v>#N/A</c:v>
                </c:pt>
                <c:pt idx="550">
                  <c:v>#N/A</c:v>
                </c:pt>
                <c:pt idx="551">
                  <c:v>-14.83604111930916</c:v>
                </c:pt>
                <c:pt idx="552">
                  <c:v>-10.469536919351627</c:v>
                </c:pt>
                <c:pt idx="553">
                  <c:v>#N/A</c:v>
                </c:pt>
                <c:pt idx="554">
                  <c:v>-13.486556229100898</c:v>
                </c:pt>
                <c:pt idx="555">
                  <c:v>#N/A</c:v>
                </c:pt>
                <c:pt idx="556">
                  <c:v>#N/A</c:v>
                </c:pt>
                <c:pt idx="557">
                  <c:v>#N/A</c:v>
                </c:pt>
                <c:pt idx="558">
                  <c:v>-11.41591481922015</c:v>
                </c:pt>
                <c:pt idx="559">
                  <c:v>-10.66997926830286</c:v>
                </c:pt>
                <c:pt idx="560">
                  <c:v>#N/A</c:v>
                </c:pt>
                <c:pt idx="561">
                  <c:v>-19.097659851274916</c:v>
                </c:pt>
                <c:pt idx="562">
                  <c:v>-11.529745134773155</c:v>
                </c:pt>
                <c:pt idx="563">
                  <c:v>-11.575834031432276</c:v>
                </c:pt>
                <c:pt idx="564">
                  <c:v>#N/A</c:v>
                </c:pt>
                <c:pt idx="565">
                  <c:v>#N/A</c:v>
                </c:pt>
                <c:pt idx="566">
                  <c:v>-16.476066424683211</c:v>
                </c:pt>
                <c:pt idx="567">
                  <c:v>#N/A</c:v>
                </c:pt>
                <c:pt idx="568">
                  <c:v>#N/A</c:v>
                </c:pt>
                <c:pt idx="569">
                  <c:v>-13.224366607296748</c:v>
                </c:pt>
                <c:pt idx="570">
                  <c:v>-18.584509857205898</c:v>
                </c:pt>
                <c:pt idx="571">
                  <c:v>-15.89238383098767</c:v>
                </c:pt>
                <c:pt idx="572">
                  <c:v>#N/A</c:v>
                </c:pt>
                <c:pt idx="573">
                  <c:v>#N/A</c:v>
                </c:pt>
                <c:pt idx="574">
                  <c:v>#N/A</c:v>
                </c:pt>
                <c:pt idx="575">
                  <c:v>#N/A</c:v>
                </c:pt>
                <c:pt idx="576">
                  <c:v>#N/A</c:v>
                </c:pt>
                <c:pt idx="577">
                  <c:v>#N/A</c:v>
                </c:pt>
                <c:pt idx="578">
                  <c:v>#N/A</c:v>
                </c:pt>
                <c:pt idx="579">
                  <c:v>#N/A</c:v>
                </c:pt>
                <c:pt idx="580">
                  <c:v>-10.510268133162688</c:v>
                </c:pt>
                <c:pt idx="581">
                  <c:v>-19.10835111170319</c:v>
                </c:pt>
                <c:pt idx="582">
                  <c:v>-20.301765958188014</c:v>
                </c:pt>
                <c:pt idx="583">
                  <c:v>-12.171240348245178</c:v>
                </c:pt>
                <c:pt idx="584">
                  <c:v>#N/A</c:v>
                </c:pt>
                <c:pt idx="585">
                  <c:v>-22.949726478708342</c:v>
                </c:pt>
                <c:pt idx="586">
                  <c:v>#N/A</c:v>
                </c:pt>
                <c:pt idx="587">
                  <c:v>-14.288332747956517</c:v>
                </c:pt>
                <c:pt idx="588">
                  <c:v>-5.3408916006361</c:v>
                </c:pt>
                <c:pt idx="589">
                  <c:v>-9.66325904020308</c:v>
                </c:pt>
                <c:pt idx="590">
                  <c:v>#N/A</c:v>
                </c:pt>
                <c:pt idx="591">
                  <c:v>-12.140682537678664</c:v>
                </c:pt>
                <c:pt idx="592">
                  <c:v>-16.233197302424358</c:v>
                </c:pt>
                <c:pt idx="593">
                  <c:v>#N/A</c:v>
                </c:pt>
                <c:pt idx="594">
                  <c:v>-22.160458542518757</c:v>
                </c:pt>
                <c:pt idx="595">
                  <c:v>#N/A</c:v>
                </c:pt>
                <c:pt idx="596">
                  <c:v>#N/A</c:v>
                </c:pt>
                <c:pt idx="597">
                  <c:v>#N/A</c:v>
                </c:pt>
                <c:pt idx="598">
                  <c:v>#N/A</c:v>
                </c:pt>
                <c:pt idx="599">
                  <c:v>-16.658588123476953</c:v>
                </c:pt>
                <c:pt idx="600">
                  <c:v>-12.063894478061139</c:v>
                </c:pt>
                <c:pt idx="601">
                  <c:v>-11.425063317783412</c:v>
                </c:pt>
                <c:pt idx="602">
                  <c:v>#N/A</c:v>
                </c:pt>
                <c:pt idx="603">
                  <c:v>-27.091766018543151</c:v>
                </c:pt>
                <c:pt idx="604">
                  <c:v>#N/A</c:v>
                </c:pt>
                <c:pt idx="605">
                  <c:v>-14.472991412746744</c:v>
                </c:pt>
                <c:pt idx="606">
                  <c:v>#N/A</c:v>
                </c:pt>
                <c:pt idx="607">
                  <c:v>#N/A</c:v>
                </c:pt>
                <c:pt idx="608">
                  <c:v>-14.417749236434583</c:v>
                </c:pt>
                <c:pt idx="609">
                  <c:v>-14.257179095057079</c:v>
                </c:pt>
                <c:pt idx="610">
                  <c:v>#N/A</c:v>
                </c:pt>
                <c:pt idx="611">
                  <c:v>#N/A</c:v>
                </c:pt>
                <c:pt idx="612">
                  <c:v>-24.620614134265267</c:v>
                </c:pt>
                <c:pt idx="613">
                  <c:v>-15.450219329793429</c:v>
                </c:pt>
                <c:pt idx="614">
                  <c:v>#N/A</c:v>
                </c:pt>
                <c:pt idx="615">
                  <c:v>#N/A</c:v>
                </c:pt>
                <c:pt idx="616">
                  <c:v>-17.622262001684049</c:v>
                </c:pt>
                <c:pt idx="617">
                  <c:v>-15.340004293501678</c:v>
                </c:pt>
                <c:pt idx="618">
                  <c:v>-13.249050044082471</c:v>
                </c:pt>
                <c:pt idx="619">
                  <c:v>-19.751963428213934</c:v>
                </c:pt>
                <c:pt idx="620">
                  <c:v>-12.475238489026935</c:v>
                </c:pt>
                <c:pt idx="621">
                  <c:v>#N/A</c:v>
                </c:pt>
                <c:pt idx="622">
                  <c:v>#N/A</c:v>
                </c:pt>
                <c:pt idx="623">
                  <c:v>-13.738653793506874</c:v>
                </c:pt>
                <c:pt idx="624">
                  <c:v>#N/A</c:v>
                </c:pt>
                <c:pt idx="625">
                  <c:v>-24.016097945208536</c:v>
                </c:pt>
                <c:pt idx="626">
                  <c:v>#N/A</c:v>
                </c:pt>
                <c:pt idx="627">
                  <c:v>#N/A</c:v>
                </c:pt>
                <c:pt idx="628">
                  <c:v>#N/A</c:v>
                </c:pt>
                <c:pt idx="629">
                  <c:v>-17.914093417418997</c:v>
                </c:pt>
                <c:pt idx="630">
                  <c:v>-12.723373801404049</c:v>
                </c:pt>
                <c:pt idx="631">
                  <c:v>#N/A</c:v>
                </c:pt>
                <c:pt idx="632">
                  <c:v>-16.717492255001275</c:v>
                </c:pt>
                <c:pt idx="633">
                  <c:v>#N/A</c:v>
                </c:pt>
                <c:pt idx="634">
                  <c:v>-13.106946941356972</c:v>
                </c:pt>
                <c:pt idx="635">
                  <c:v>-13.971212932248553</c:v>
                </c:pt>
                <c:pt idx="636">
                  <c:v>-16.216516918261625</c:v>
                </c:pt>
                <c:pt idx="637">
                  <c:v>-16.955364767300615</c:v>
                </c:pt>
                <c:pt idx="638">
                  <c:v>-18.081899641253084</c:v>
                </c:pt>
                <c:pt idx="639">
                  <c:v>#N/A</c:v>
                </c:pt>
                <c:pt idx="640">
                  <c:v>#N/A</c:v>
                </c:pt>
                <c:pt idx="641">
                  <c:v>#N/A</c:v>
                </c:pt>
                <c:pt idx="642">
                  <c:v>-16.530759732300965</c:v>
                </c:pt>
                <c:pt idx="643">
                  <c:v>-15.038979764913407</c:v>
                </c:pt>
                <c:pt idx="644">
                  <c:v>-15.666621004611219</c:v>
                </c:pt>
                <c:pt idx="645">
                  <c:v>-16.353489574288748</c:v>
                </c:pt>
                <c:pt idx="646">
                  <c:v>-16.899933566445718</c:v>
                </c:pt>
                <c:pt idx="647">
                  <c:v>#N/A</c:v>
                </c:pt>
                <c:pt idx="648">
                  <c:v>-13.082860420426654</c:v>
                </c:pt>
                <c:pt idx="649">
                  <c:v>-12.616704834165196</c:v>
                </c:pt>
                <c:pt idx="650">
                  <c:v>-16.369655805367273</c:v>
                </c:pt>
                <c:pt idx="651">
                  <c:v>-16.833911624222839</c:v>
                </c:pt>
                <c:pt idx="652">
                  <c:v>-18.778471897901404</c:v>
                </c:pt>
                <c:pt idx="653">
                  <c:v>-19.429663679404644</c:v>
                </c:pt>
                <c:pt idx="654">
                  <c:v>-21.383316386475645</c:v>
                </c:pt>
                <c:pt idx="655">
                  <c:v>#N/A</c:v>
                </c:pt>
                <c:pt idx="656">
                  <c:v>-13.88755010908141</c:v>
                </c:pt>
                <c:pt idx="657">
                  <c:v>-14.188959383802462</c:v>
                </c:pt>
                <c:pt idx="658">
                  <c:v>-14.20486767870486</c:v>
                </c:pt>
                <c:pt idx="659">
                  <c:v>-17.597624305326182</c:v>
                </c:pt>
                <c:pt idx="660">
                  <c:v>-14.31117663101222</c:v>
                </c:pt>
                <c:pt idx="661">
                  <c:v>-9.3941928131018333</c:v>
                </c:pt>
                <c:pt idx="662">
                  <c:v>-22.683978034100434</c:v>
                </c:pt>
                <c:pt idx="663">
                  <c:v>#N/A</c:v>
                </c:pt>
                <c:pt idx="664">
                  <c:v>-16.352473924318808</c:v>
                </c:pt>
                <c:pt idx="665">
                  <c:v>-12.769695980839643</c:v>
                </c:pt>
                <c:pt idx="666">
                  <c:v>-9.9912270843339517</c:v>
                </c:pt>
                <c:pt idx="667">
                  <c:v>-12.075530243306078</c:v>
                </c:pt>
                <c:pt idx="668">
                  <c:v>#N/A</c:v>
                </c:pt>
                <c:pt idx="669">
                  <c:v>-23.548783722156944</c:v>
                </c:pt>
                <c:pt idx="670">
                  <c:v>-17.046883113537515</c:v>
                </c:pt>
                <c:pt idx="671">
                  <c:v>-19.265447570213038</c:v>
                </c:pt>
                <c:pt idx="672">
                  <c:v>-18.976701750556032</c:v>
                </c:pt>
                <c:pt idx="673">
                  <c:v>-18.736170869626051</c:v>
                </c:pt>
                <c:pt idx="674">
                  <c:v>-18.679062917246082</c:v>
                </c:pt>
                <c:pt idx="675">
                  <c:v>#N/A</c:v>
                </c:pt>
                <c:pt idx="676">
                  <c:v>-21.016105222578609</c:v>
                </c:pt>
                <c:pt idx="677">
                  <c:v>-17.295090473149322</c:v>
                </c:pt>
                <c:pt idx="678">
                  <c:v>-25.26762400614826</c:v>
                </c:pt>
                <c:pt idx="679">
                  <c:v>-22.265095517890966</c:v>
                </c:pt>
                <c:pt idx="680">
                  <c:v>-9.8297774919344132</c:v>
                </c:pt>
                <c:pt idx="681">
                  <c:v>-15.535137108529579</c:v>
                </c:pt>
                <c:pt idx="682">
                  <c:v>#N/A</c:v>
                </c:pt>
                <c:pt idx="683">
                  <c:v>-12.135567676983516</c:v>
                </c:pt>
                <c:pt idx="684">
                  <c:v>-15.955627642172519</c:v>
                </c:pt>
              </c:numCache>
            </c:numRef>
          </c:yVal>
          <c:smooth val="0"/>
          <c:extLst>
            <c:ext xmlns:c16="http://schemas.microsoft.com/office/drawing/2014/chart" uri="{C3380CC4-5D6E-409C-BE32-E72D297353CC}">
              <c16:uniqueId val="{00000000-BB85-434C-B49D-D491F3218315}"/>
            </c:ext>
          </c:extLst>
        </c:ser>
        <c:ser>
          <c:idx val="1"/>
          <c:order val="1"/>
          <c:tx>
            <c:v>Limit</c:v>
          </c:tx>
          <c:spPr>
            <a:ln w="38100" cap="rnd">
              <a:solidFill>
                <a:srgbClr val="FF0000"/>
              </a:solidFill>
              <a:prstDash val="dash"/>
              <a:round/>
            </a:ln>
            <a:effectLst/>
          </c:spPr>
          <c:marker>
            <c:symbol val="none"/>
          </c:marker>
          <c:xVal>
            <c:numRef>
              <c:f>Limits!$J$3:$J$4</c:f>
              <c:numCache>
                <c:formatCode>General</c:formatCode>
                <c:ptCount val="2"/>
                <c:pt idx="0">
                  <c:v>0.105</c:v>
                </c:pt>
                <c:pt idx="1">
                  <c:v>220</c:v>
                </c:pt>
              </c:numCache>
            </c:numRef>
          </c:xVal>
          <c:yVal>
            <c:numRef>
              <c:f>Limits!$K$3:$K$4</c:f>
              <c:numCache>
                <c:formatCode>General</c:formatCode>
                <c:ptCount val="2"/>
                <c:pt idx="0">
                  <c:v>2.0411998265592479</c:v>
                </c:pt>
                <c:pt idx="1">
                  <c:v>2.0411998265592479</c:v>
                </c:pt>
              </c:numCache>
            </c:numRef>
          </c:yVal>
          <c:smooth val="0"/>
          <c:extLst>
            <c:ext xmlns:c16="http://schemas.microsoft.com/office/drawing/2014/chart" uri="{C3380CC4-5D6E-409C-BE32-E72D297353CC}">
              <c16:uniqueId val="{00000001-BB85-434C-B49D-D491F3218315}"/>
            </c:ext>
          </c:extLst>
        </c:ser>
        <c:dLbls>
          <c:showLegendKey val="0"/>
          <c:showVal val="0"/>
          <c:showCatName val="0"/>
          <c:showSerName val="0"/>
          <c:showPercent val="0"/>
          <c:showBubbleSize val="0"/>
        </c:dLbls>
        <c:axId val="394535568"/>
        <c:axId val="394535952"/>
      </c:scatterChart>
      <c:valAx>
        <c:axId val="394535568"/>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Frequency, GHz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535952"/>
        <c:crossesAt val="0"/>
        <c:crossBetween val="midCat"/>
      </c:valAx>
      <c:valAx>
        <c:axId val="394535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FOM_D (dB)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535568"/>
        <c:crossesAt val="0.1"/>
        <c:crossBetween val="midCat"/>
      </c:valAx>
      <c:spPr>
        <a:noFill/>
        <a:ln>
          <a:noFill/>
        </a:ln>
        <a:effectLst/>
      </c:spPr>
    </c:plotArea>
    <c:legend>
      <c:legendPos val="r"/>
      <c:layout>
        <c:manualLayout>
          <c:xMode val="edge"/>
          <c:yMode val="edge"/>
          <c:x val="0.74371086591854019"/>
          <c:y val="0.23991560163629091"/>
          <c:w val="0.12738772105623497"/>
          <c:h val="6.8111729627763365E-2"/>
        </c:manualLayout>
      </c:layout>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90117312280968E-2"/>
          <c:y val="2.2199223170204795E-2"/>
          <c:w val="0.86814075166962867"/>
          <c:h val="0.92491609345157877"/>
        </c:manualLayout>
      </c:layout>
      <c:scatterChart>
        <c:scatterStyle val="lineMarker"/>
        <c:varyColors val="0"/>
        <c:ser>
          <c:idx val="0"/>
          <c:order val="0"/>
          <c:tx>
            <c:strRef>
              <c:f>CMOS!$W$1</c:f>
              <c:strCache>
                <c:ptCount val="1"/>
                <c:pt idx="0">
                  <c:v>FOM^BW_D</c:v>
                </c:pt>
              </c:strCache>
            </c:strRef>
          </c:tx>
          <c:spPr>
            <a:ln w="25400" cap="rnd">
              <a:noFill/>
              <a:round/>
            </a:ln>
            <a:effectLst/>
          </c:spPr>
          <c:marker>
            <c:symbol val="circle"/>
            <c:size val="5"/>
            <c:spPr>
              <a:solidFill>
                <a:schemeClr val="accent1"/>
              </a:solidFill>
              <a:ln w="9525">
                <a:solidFill>
                  <a:schemeClr val="accent1"/>
                </a:solidFill>
              </a:ln>
              <a:effectLst/>
            </c:spPr>
          </c:marker>
          <c:xVal>
            <c:numRef>
              <c:f>CMOS!$F$2:$F$1635</c:f>
              <c:numCache>
                <c:formatCode>General</c:formatCode>
                <c:ptCount val="1634"/>
                <c:pt idx="1">
                  <c:v>0.03</c:v>
                </c:pt>
                <c:pt idx="5">
                  <c:v>0.5</c:v>
                </c:pt>
                <c:pt idx="6">
                  <c:v>0.5</c:v>
                </c:pt>
                <c:pt idx="8">
                  <c:v>0.1</c:v>
                </c:pt>
                <c:pt idx="10">
                  <c:v>0.67500000000000004</c:v>
                </c:pt>
                <c:pt idx="11">
                  <c:v>0.67500000000000004</c:v>
                </c:pt>
                <c:pt idx="12">
                  <c:v>1.5</c:v>
                </c:pt>
                <c:pt idx="14">
                  <c:v>1</c:v>
                </c:pt>
                <c:pt idx="15">
                  <c:v>7.6</c:v>
                </c:pt>
                <c:pt idx="16">
                  <c:v>0.8</c:v>
                </c:pt>
                <c:pt idx="17">
                  <c:v>0.5</c:v>
                </c:pt>
                <c:pt idx="18">
                  <c:v>4.5</c:v>
                </c:pt>
                <c:pt idx="19">
                  <c:v>2</c:v>
                </c:pt>
                <c:pt idx="20">
                  <c:v>8.8000000000000007</c:v>
                </c:pt>
                <c:pt idx="21">
                  <c:v>3</c:v>
                </c:pt>
                <c:pt idx="22">
                  <c:v>0.5</c:v>
                </c:pt>
                <c:pt idx="23">
                  <c:v>0.3</c:v>
                </c:pt>
                <c:pt idx="24">
                  <c:v>3</c:v>
                </c:pt>
                <c:pt idx="25">
                  <c:v>7</c:v>
                </c:pt>
                <c:pt idx="26">
                  <c:v>0.5</c:v>
                </c:pt>
                <c:pt idx="27">
                  <c:v>0.5</c:v>
                </c:pt>
                <c:pt idx="28">
                  <c:v>0.5</c:v>
                </c:pt>
                <c:pt idx="29">
                  <c:v>4</c:v>
                </c:pt>
                <c:pt idx="30">
                  <c:v>7</c:v>
                </c:pt>
                <c:pt idx="31">
                  <c:v>3.5</c:v>
                </c:pt>
                <c:pt idx="32">
                  <c:v>0.95199999999999996</c:v>
                </c:pt>
                <c:pt idx="33">
                  <c:v>4.75</c:v>
                </c:pt>
                <c:pt idx="34">
                  <c:v>8</c:v>
                </c:pt>
                <c:pt idx="35">
                  <c:v>0.5</c:v>
                </c:pt>
                <c:pt idx="36">
                  <c:v>2</c:v>
                </c:pt>
                <c:pt idx="37">
                  <c:v>1.8</c:v>
                </c:pt>
                <c:pt idx="38">
                  <c:v>4.2</c:v>
                </c:pt>
                <c:pt idx="39">
                  <c:v>8.75</c:v>
                </c:pt>
                <c:pt idx="40">
                  <c:v>8.5</c:v>
                </c:pt>
                <c:pt idx="41">
                  <c:v>0.28000000000000003</c:v>
                </c:pt>
                <c:pt idx="42">
                  <c:v>7.5</c:v>
                </c:pt>
                <c:pt idx="43">
                  <c:v>26.4</c:v>
                </c:pt>
                <c:pt idx="44">
                  <c:v>7.5</c:v>
                </c:pt>
                <c:pt idx="45">
                  <c:v>2</c:v>
                </c:pt>
                <c:pt idx="46">
                  <c:v>8</c:v>
                </c:pt>
                <c:pt idx="47">
                  <c:v>7.4999999999999997E-2</c:v>
                </c:pt>
                <c:pt idx="48">
                  <c:v>0.65</c:v>
                </c:pt>
                <c:pt idx="49">
                  <c:v>0.8</c:v>
                </c:pt>
                <c:pt idx="50">
                  <c:v>0.8</c:v>
                </c:pt>
                <c:pt idx="51">
                  <c:v>0.8</c:v>
                </c:pt>
                <c:pt idx="52">
                  <c:v>0.8</c:v>
                </c:pt>
                <c:pt idx="53">
                  <c:v>7.6</c:v>
                </c:pt>
                <c:pt idx="54">
                  <c:v>0.9</c:v>
                </c:pt>
                <c:pt idx="55">
                  <c:v>5.0000000000000001E-3</c:v>
                </c:pt>
                <c:pt idx="56">
                  <c:v>7.2</c:v>
                </c:pt>
                <c:pt idx="57">
                  <c:v>15</c:v>
                </c:pt>
                <c:pt idx="58">
                  <c:v>9.6</c:v>
                </c:pt>
                <c:pt idx="59">
                  <c:v>1.67</c:v>
                </c:pt>
                <c:pt idx="60">
                  <c:v>1</c:v>
                </c:pt>
                <c:pt idx="61">
                  <c:v>0.9</c:v>
                </c:pt>
                <c:pt idx="62">
                  <c:v>1</c:v>
                </c:pt>
                <c:pt idx="63">
                  <c:v>22</c:v>
                </c:pt>
                <c:pt idx="64">
                  <c:v>12</c:v>
                </c:pt>
                <c:pt idx="65">
                  <c:v>10</c:v>
                </c:pt>
                <c:pt idx="66">
                  <c:v>9.5</c:v>
                </c:pt>
                <c:pt idx="67">
                  <c:v>10.5</c:v>
                </c:pt>
                <c:pt idx="68">
                  <c:v>6</c:v>
                </c:pt>
                <c:pt idx="69">
                  <c:v>0.68</c:v>
                </c:pt>
                <c:pt idx="70">
                  <c:v>5</c:v>
                </c:pt>
                <c:pt idx="71">
                  <c:v>15</c:v>
                </c:pt>
                <c:pt idx="72">
                  <c:v>1.9</c:v>
                </c:pt>
                <c:pt idx="73">
                  <c:v>0.62</c:v>
                </c:pt>
                <c:pt idx="74">
                  <c:v>17</c:v>
                </c:pt>
                <c:pt idx="75">
                  <c:v>7.5</c:v>
                </c:pt>
                <c:pt idx="76">
                  <c:v>15</c:v>
                </c:pt>
                <c:pt idx="77">
                  <c:v>3</c:v>
                </c:pt>
                <c:pt idx="78">
                  <c:v>7.5</c:v>
                </c:pt>
                <c:pt idx="79">
                  <c:v>0.7</c:v>
                </c:pt>
                <c:pt idx="80">
                  <c:v>2.8</c:v>
                </c:pt>
                <c:pt idx="81">
                  <c:v>3.3</c:v>
                </c:pt>
                <c:pt idx="82">
                  <c:v>0.1</c:v>
                </c:pt>
                <c:pt idx="83">
                  <c:v>3.1</c:v>
                </c:pt>
                <c:pt idx="84">
                  <c:v>3.8</c:v>
                </c:pt>
                <c:pt idx="86">
                  <c:v>1.1000000000000001</c:v>
                </c:pt>
                <c:pt idx="87">
                  <c:v>1.1000000000000001</c:v>
                </c:pt>
                <c:pt idx="88">
                  <c:v>4</c:v>
                </c:pt>
                <c:pt idx="89">
                  <c:v>0.5</c:v>
                </c:pt>
                <c:pt idx="90">
                  <c:v>7</c:v>
                </c:pt>
                <c:pt idx="91">
                  <c:v>10</c:v>
                </c:pt>
                <c:pt idx="92">
                  <c:v>0.95</c:v>
                </c:pt>
                <c:pt idx="93">
                  <c:v>30</c:v>
                </c:pt>
                <c:pt idx="94">
                  <c:v>0.55000000000000004</c:v>
                </c:pt>
                <c:pt idx="95">
                  <c:v>2.5</c:v>
                </c:pt>
                <c:pt idx="96">
                  <c:v>0.375</c:v>
                </c:pt>
                <c:pt idx="97">
                  <c:v>18</c:v>
                </c:pt>
                <c:pt idx="98">
                  <c:v>28</c:v>
                </c:pt>
                <c:pt idx="99">
                  <c:v>2.1</c:v>
                </c:pt>
                <c:pt idx="100">
                  <c:v>5</c:v>
                </c:pt>
                <c:pt idx="101">
                  <c:v>7.8</c:v>
                </c:pt>
                <c:pt idx="102">
                  <c:v>2.95</c:v>
                </c:pt>
                <c:pt idx="103">
                  <c:v>10.5</c:v>
                </c:pt>
                <c:pt idx="106">
                  <c:v>23</c:v>
                </c:pt>
                <c:pt idx="107">
                  <c:v>11.6</c:v>
                </c:pt>
                <c:pt idx="108">
                  <c:v>8</c:v>
                </c:pt>
                <c:pt idx="109">
                  <c:v>66</c:v>
                </c:pt>
                <c:pt idx="110">
                  <c:v>5.25</c:v>
                </c:pt>
                <c:pt idx="111">
                  <c:v>9</c:v>
                </c:pt>
                <c:pt idx="112">
                  <c:v>10</c:v>
                </c:pt>
                <c:pt idx="113">
                  <c:v>9</c:v>
                </c:pt>
                <c:pt idx="114">
                  <c:v>2.5</c:v>
                </c:pt>
                <c:pt idx="115">
                  <c:v>6</c:v>
                </c:pt>
                <c:pt idx="116">
                  <c:v>4.0999999999999996</c:v>
                </c:pt>
                <c:pt idx="117">
                  <c:v>8.64</c:v>
                </c:pt>
                <c:pt idx="118">
                  <c:v>12</c:v>
                </c:pt>
                <c:pt idx="119">
                  <c:v>12</c:v>
                </c:pt>
                <c:pt idx="120">
                  <c:v>31</c:v>
                </c:pt>
                <c:pt idx="121">
                  <c:v>19</c:v>
                </c:pt>
                <c:pt idx="122">
                  <c:v>24</c:v>
                </c:pt>
                <c:pt idx="123">
                  <c:v>12</c:v>
                </c:pt>
                <c:pt idx="124">
                  <c:v>7.9</c:v>
                </c:pt>
                <c:pt idx="125">
                  <c:v>7.9</c:v>
                </c:pt>
                <c:pt idx="126">
                  <c:v>7.9</c:v>
                </c:pt>
                <c:pt idx="127">
                  <c:v>8.5</c:v>
                </c:pt>
                <c:pt idx="128">
                  <c:v>20</c:v>
                </c:pt>
                <c:pt idx="129">
                  <c:v>31</c:v>
                </c:pt>
                <c:pt idx="130">
                  <c:v>11.6</c:v>
                </c:pt>
                <c:pt idx="131">
                  <c:v>11.2</c:v>
                </c:pt>
                <c:pt idx="132">
                  <c:v>9.6</c:v>
                </c:pt>
                <c:pt idx="133">
                  <c:v>9</c:v>
                </c:pt>
                <c:pt idx="134">
                  <c:v>5.0999999999999996</c:v>
                </c:pt>
                <c:pt idx="135">
                  <c:v>3.95</c:v>
                </c:pt>
                <c:pt idx="136">
                  <c:v>5.5</c:v>
                </c:pt>
                <c:pt idx="137">
                  <c:v>6.8</c:v>
                </c:pt>
                <c:pt idx="138">
                  <c:v>10</c:v>
                </c:pt>
                <c:pt idx="139">
                  <c:v>11</c:v>
                </c:pt>
                <c:pt idx="140">
                  <c:v>22.1</c:v>
                </c:pt>
                <c:pt idx="141">
                  <c:v>0.3</c:v>
                </c:pt>
                <c:pt idx="142">
                  <c:v>0.4</c:v>
                </c:pt>
                <c:pt idx="143">
                  <c:v>20.100000000000001</c:v>
                </c:pt>
                <c:pt idx="144">
                  <c:v>3.5</c:v>
                </c:pt>
                <c:pt idx="145">
                  <c:v>2.58</c:v>
                </c:pt>
                <c:pt idx="146">
                  <c:v>0.01</c:v>
                </c:pt>
                <c:pt idx="147">
                  <c:v>0.01</c:v>
                </c:pt>
                <c:pt idx="148">
                  <c:v>0.02</c:v>
                </c:pt>
                <c:pt idx="149">
                  <c:v>0.02</c:v>
                </c:pt>
                <c:pt idx="150">
                  <c:v>0.01</c:v>
                </c:pt>
                <c:pt idx="151">
                  <c:v>3.4</c:v>
                </c:pt>
                <c:pt idx="152">
                  <c:v>0.5</c:v>
                </c:pt>
                <c:pt idx="153">
                  <c:v>15</c:v>
                </c:pt>
                <c:pt idx="154">
                  <c:v>1.5</c:v>
                </c:pt>
                <c:pt idx="155">
                  <c:v>6.6</c:v>
                </c:pt>
                <c:pt idx="156">
                  <c:v>10.8</c:v>
                </c:pt>
                <c:pt idx="157">
                  <c:v>11.8</c:v>
                </c:pt>
                <c:pt idx="158">
                  <c:v>24</c:v>
                </c:pt>
                <c:pt idx="159">
                  <c:v>6</c:v>
                </c:pt>
                <c:pt idx="160">
                  <c:v>20</c:v>
                </c:pt>
                <c:pt idx="161">
                  <c:v>25.6</c:v>
                </c:pt>
                <c:pt idx="162">
                  <c:v>32.700000000000003</c:v>
                </c:pt>
                <c:pt idx="163">
                  <c:v>7.2</c:v>
                </c:pt>
                <c:pt idx="164">
                  <c:v>10.8</c:v>
                </c:pt>
                <c:pt idx="165">
                  <c:v>6</c:v>
                </c:pt>
                <c:pt idx="166">
                  <c:v>10</c:v>
                </c:pt>
                <c:pt idx="167">
                  <c:v>7.6</c:v>
                </c:pt>
                <c:pt idx="168">
                  <c:v>8.6</c:v>
                </c:pt>
                <c:pt idx="169">
                  <c:v>8</c:v>
                </c:pt>
                <c:pt idx="170">
                  <c:v>6</c:v>
                </c:pt>
                <c:pt idx="171">
                  <c:v>2.8</c:v>
                </c:pt>
                <c:pt idx="172">
                  <c:v>2.8</c:v>
                </c:pt>
                <c:pt idx="173">
                  <c:v>1.6</c:v>
                </c:pt>
                <c:pt idx="174">
                  <c:v>1.6</c:v>
                </c:pt>
                <c:pt idx="175">
                  <c:v>16.5</c:v>
                </c:pt>
                <c:pt idx="176">
                  <c:v>20</c:v>
                </c:pt>
                <c:pt idx="177">
                  <c:v>16.100000000000001</c:v>
                </c:pt>
                <c:pt idx="178">
                  <c:v>10</c:v>
                </c:pt>
                <c:pt idx="179">
                  <c:v>4.2</c:v>
                </c:pt>
                <c:pt idx="180">
                  <c:v>2</c:v>
                </c:pt>
                <c:pt idx="181">
                  <c:v>33.700000000000003</c:v>
                </c:pt>
                <c:pt idx="182">
                  <c:v>1.35</c:v>
                </c:pt>
                <c:pt idx="183">
                  <c:v>43.5</c:v>
                </c:pt>
                <c:pt idx="184">
                  <c:v>26.4</c:v>
                </c:pt>
                <c:pt idx="185">
                  <c:v>75</c:v>
                </c:pt>
                <c:pt idx="186">
                  <c:v>8.5</c:v>
                </c:pt>
                <c:pt idx="187">
                  <c:v>12.5</c:v>
                </c:pt>
                <c:pt idx="188">
                  <c:v>12</c:v>
                </c:pt>
                <c:pt idx="190">
                  <c:v>1.5</c:v>
                </c:pt>
                <c:pt idx="192">
                  <c:v>0.2</c:v>
                </c:pt>
                <c:pt idx="193">
                  <c:v>0.55000000000000004</c:v>
                </c:pt>
                <c:pt idx="194">
                  <c:v>0.7</c:v>
                </c:pt>
                <c:pt idx="195">
                  <c:v>0.85</c:v>
                </c:pt>
                <c:pt idx="198">
                  <c:v>0.04</c:v>
                </c:pt>
                <c:pt idx="199">
                  <c:v>0.13</c:v>
                </c:pt>
                <c:pt idx="200">
                  <c:v>0.75</c:v>
                </c:pt>
                <c:pt idx="201">
                  <c:v>4</c:v>
                </c:pt>
                <c:pt idx="204">
                  <c:v>0.15</c:v>
                </c:pt>
                <c:pt idx="205">
                  <c:v>0.77</c:v>
                </c:pt>
                <c:pt idx="206">
                  <c:v>0.2</c:v>
                </c:pt>
                <c:pt idx="208">
                  <c:v>1.5980000000000001</c:v>
                </c:pt>
                <c:pt idx="209">
                  <c:v>16</c:v>
                </c:pt>
                <c:pt idx="210">
                  <c:v>6.9</c:v>
                </c:pt>
                <c:pt idx="211">
                  <c:v>7.1</c:v>
                </c:pt>
                <c:pt idx="212">
                  <c:v>2.6</c:v>
                </c:pt>
                <c:pt idx="213">
                  <c:v>1.35</c:v>
                </c:pt>
                <c:pt idx="214">
                  <c:v>1.38</c:v>
                </c:pt>
                <c:pt idx="215">
                  <c:v>3</c:v>
                </c:pt>
                <c:pt idx="216">
                  <c:v>7.0000000000000007E-2</c:v>
                </c:pt>
                <c:pt idx="217">
                  <c:v>6.96</c:v>
                </c:pt>
                <c:pt idx="218">
                  <c:v>0.01</c:v>
                </c:pt>
                <c:pt idx="219">
                  <c:v>0.83</c:v>
                </c:pt>
                <c:pt idx="220">
                  <c:v>10.7</c:v>
                </c:pt>
                <c:pt idx="221">
                  <c:v>7.5</c:v>
                </c:pt>
                <c:pt idx="222">
                  <c:v>7.5</c:v>
                </c:pt>
                <c:pt idx="223">
                  <c:v>3.5</c:v>
                </c:pt>
                <c:pt idx="224">
                  <c:v>8</c:v>
                </c:pt>
                <c:pt idx="225">
                  <c:v>0.6</c:v>
                </c:pt>
                <c:pt idx="226">
                  <c:v>0.9</c:v>
                </c:pt>
                <c:pt idx="227">
                  <c:v>1.3009999999999999</c:v>
                </c:pt>
                <c:pt idx="229">
                  <c:v>0.25</c:v>
                </c:pt>
                <c:pt idx="230">
                  <c:v>3</c:v>
                </c:pt>
                <c:pt idx="231">
                  <c:v>1.3</c:v>
                </c:pt>
                <c:pt idx="232">
                  <c:v>0.1</c:v>
                </c:pt>
                <c:pt idx="234">
                  <c:v>5</c:v>
                </c:pt>
                <c:pt idx="235">
                  <c:v>6</c:v>
                </c:pt>
                <c:pt idx="236">
                  <c:v>20</c:v>
                </c:pt>
                <c:pt idx="237">
                  <c:v>6.5</c:v>
                </c:pt>
                <c:pt idx="238">
                  <c:v>6.5</c:v>
                </c:pt>
                <c:pt idx="242">
                  <c:v>1.4</c:v>
                </c:pt>
                <c:pt idx="243">
                  <c:v>8</c:v>
                </c:pt>
                <c:pt idx="244">
                  <c:v>7.6</c:v>
                </c:pt>
                <c:pt idx="245">
                  <c:v>6.6</c:v>
                </c:pt>
                <c:pt idx="246">
                  <c:v>0.13</c:v>
                </c:pt>
                <c:pt idx="247">
                  <c:v>4.4999999999999998E-2</c:v>
                </c:pt>
                <c:pt idx="248">
                  <c:v>0.55200000000000005</c:v>
                </c:pt>
                <c:pt idx="250">
                  <c:v>0.5</c:v>
                </c:pt>
                <c:pt idx="251">
                  <c:v>9</c:v>
                </c:pt>
                <c:pt idx="252">
                  <c:v>1.1599999999999999</c:v>
                </c:pt>
                <c:pt idx="253">
                  <c:v>10.4</c:v>
                </c:pt>
                <c:pt idx="254">
                  <c:v>10</c:v>
                </c:pt>
                <c:pt idx="255">
                  <c:v>6</c:v>
                </c:pt>
                <c:pt idx="256">
                  <c:v>2.298</c:v>
                </c:pt>
                <c:pt idx="257">
                  <c:v>0.12</c:v>
                </c:pt>
                <c:pt idx="258">
                  <c:v>10</c:v>
                </c:pt>
                <c:pt idx="259">
                  <c:v>9</c:v>
                </c:pt>
                <c:pt idx="260">
                  <c:v>1.8</c:v>
                </c:pt>
                <c:pt idx="261">
                  <c:v>0.19</c:v>
                </c:pt>
                <c:pt idx="262">
                  <c:v>2.6</c:v>
                </c:pt>
                <c:pt idx="263">
                  <c:v>9.9</c:v>
                </c:pt>
                <c:pt idx="264">
                  <c:v>0.25</c:v>
                </c:pt>
                <c:pt idx="265">
                  <c:v>0.3</c:v>
                </c:pt>
                <c:pt idx="266">
                  <c:v>12</c:v>
                </c:pt>
                <c:pt idx="267">
                  <c:v>0.2</c:v>
                </c:pt>
                <c:pt idx="268">
                  <c:v>2</c:v>
                </c:pt>
                <c:pt idx="269">
                  <c:v>2</c:v>
                </c:pt>
                <c:pt idx="270">
                  <c:v>1.4</c:v>
                </c:pt>
                <c:pt idx="271">
                  <c:v>3.6</c:v>
                </c:pt>
                <c:pt idx="272">
                  <c:v>2.5</c:v>
                </c:pt>
                <c:pt idx="273">
                  <c:v>11.7</c:v>
                </c:pt>
                <c:pt idx="274">
                  <c:v>10</c:v>
                </c:pt>
                <c:pt idx="275">
                  <c:v>30</c:v>
                </c:pt>
                <c:pt idx="276">
                  <c:v>27.5</c:v>
                </c:pt>
                <c:pt idx="277">
                  <c:v>1.9</c:v>
                </c:pt>
                <c:pt idx="278">
                  <c:v>28.3</c:v>
                </c:pt>
                <c:pt idx="279">
                  <c:v>2</c:v>
                </c:pt>
                <c:pt idx="280">
                  <c:v>17.5</c:v>
                </c:pt>
                <c:pt idx="281">
                  <c:v>0.2</c:v>
                </c:pt>
                <c:pt idx="282">
                  <c:v>2.1</c:v>
                </c:pt>
                <c:pt idx="283">
                  <c:v>10</c:v>
                </c:pt>
                <c:pt idx="284">
                  <c:v>10</c:v>
                </c:pt>
                <c:pt idx="285">
                  <c:v>0.2</c:v>
                </c:pt>
                <c:pt idx="286">
                  <c:v>5.6000000000000014</c:v>
                </c:pt>
                <c:pt idx="287">
                  <c:v>15</c:v>
                </c:pt>
                <c:pt idx="288">
                  <c:v>5.5</c:v>
                </c:pt>
                <c:pt idx="289">
                  <c:v>4.4800000000000004</c:v>
                </c:pt>
                <c:pt idx="290">
                  <c:v>40</c:v>
                </c:pt>
                <c:pt idx="291">
                  <c:v>4</c:v>
                </c:pt>
                <c:pt idx="292">
                  <c:v>15.3</c:v>
                </c:pt>
                <c:pt idx="293">
                  <c:v>33</c:v>
                </c:pt>
                <c:pt idx="294">
                  <c:v>22.1</c:v>
                </c:pt>
                <c:pt idx="295">
                  <c:v>16</c:v>
                </c:pt>
                <c:pt idx="296">
                  <c:v>9.6999999999999993</c:v>
                </c:pt>
                <c:pt idx="297">
                  <c:v>7</c:v>
                </c:pt>
                <c:pt idx="298">
                  <c:v>20</c:v>
                </c:pt>
                <c:pt idx="299">
                  <c:v>1.4</c:v>
                </c:pt>
                <c:pt idx="300">
                  <c:v>4.0999999999999996</c:v>
                </c:pt>
                <c:pt idx="301">
                  <c:v>4.7</c:v>
                </c:pt>
                <c:pt idx="302">
                  <c:v>6.5</c:v>
                </c:pt>
                <c:pt idx="303">
                  <c:v>10.199999999999999</c:v>
                </c:pt>
                <c:pt idx="304">
                  <c:v>4.5</c:v>
                </c:pt>
                <c:pt idx="305">
                  <c:v>4.5999999999999996</c:v>
                </c:pt>
                <c:pt idx="306">
                  <c:v>6.5</c:v>
                </c:pt>
                <c:pt idx="307">
                  <c:v>11.5</c:v>
                </c:pt>
                <c:pt idx="308">
                  <c:v>11.9</c:v>
                </c:pt>
                <c:pt idx="309">
                  <c:v>11.6</c:v>
                </c:pt>
                <c:pt idx="310">
                  <c:v>21</c:v>
                </c:pt>
                <c:pt idx="311">
                  <c:v>20</c:v>
                </c:pt>
                <c:pt idx="318">
                  <c:v>1.5</c:v>
                </c:pt>
                <c:pt idx="319">
                  <c:v>1.5</c:v>
                </c:pt>
                <c:pt idx="323">
                  <c:v>0.4</c:v>
                </c:pt>
                <c:pt idx="324">
                  <c:v>6.9</c:v>
                </c:pt>
                <c:pt idx="325">
                  <c:v>7.1</c:v>
                </c:pt>
                <c:pt idx="326">
                  <c:v>1</c:v>
                </c:pt>
                <c:pt idx="327">
                  <c:v>2</c:v>
                </c:pt>
                <c:pt idx="328">
                  <c:v>7.7</c:v>
                </c:pt>
                <c:pt idx="329">
                  <c:v>3</c:v>
                </c:pt>
                <c:pt idx="330">
                  <c:v>2.5</c:v>
                </c:pt>
                <c:pt idx="331">
                  <c:v>7</c:v>
                </c:pt>
                <c:pt idx="332">
                  <c:v>6</c:v>
                </c:pt>
                <c:pt idx="333">
                  <c:v>6</c:v>
                </c:pt>
                <c:pt idx="334">
                  <c:v>6</c:v>
                </c:pt>
                <c:pt idx="335">
                  <c:v>14</c:v>
                </c:pt>
                <c:pt idx="336">
                  <c:v>1.48</c:v>
                </c:pt>
                <c:pt idx="337">
                  <c:v>7.7</c:v>
                </c:pt>
                <c:pt idx="338">
                  <c:v>0.62</c:v>
                </c:pt>
                <c:pt idx="339">
                  <c:v>1.25</c:v>
                </c:pt>
                <c:pt idx="340">
                  <c:v>15</c:v>
                </c:pt>
                <c:pt idx="341">
                  <c:v>0.82199999999999995</c:v>
                </c:pt>
                <c:pt idx="342">
                  <c:v>28.3</c:v>
                </c:pt>
                <c:pt idx="343">
                  <c:v>30</c:v>
                </c:pt>
                <c:pt idx="345">
                  <c:v>15</c:v>
                </c:pt>
                <c:pt idx="346">
                  <c:v>2.75</c:v>
                </c:pt>
                <c:pt idx="347">
                  <c:v>11</c:v>
                </c:pt>
                <c:pt idx="348">
                  <c:v>16</c:v>
                </c:pt>
                <c:pt idx="349">
                  <c:v>8.4</c:v>
                </c:pt>
                <c:pt idx="352">
                  <c:v>6</c:v>
                </c:pt>
                <c:pt idx="354">
                  <c:v>1.6</c:v>
                </c:pt>
                <c:pt idx="355">
                  <c:v>2.2000000000000002</c:v>
                </c:pt>
                <c:pt idx="356">
                  <c:v>10</c:v>
                </c:pt>
                <c:pt idx="357">
                  <c:v>4.2</c:v>
                </c:pt>
                <c:pt idx="358">
                  <c:v>10.8</c:v>
                </c:pt>
                <c:pt idx="359">
                  <c:v>3</c:v>
                </c:pt>
                <c:pt idx="360">
                  <c:v>10.8</c:v>
                </c:pt>
                <c:pt idx="361">
                  <c:v>6.8</c:v>
                </c:pt>
                <c:pt idx="362">
                  <c:v>5.0999999999999996</c:v>
                </c:pt>
                <c:pt idx="363">
                  <c:v>22</c:v>
                </c:pt>
                <c:pt idx="365">
                  <c:v>2.1</c:v>
                </c:pt>
                <c:pt idx="366">
                  <c:v>0.81200000000000006</c:v>
                </c:pt>
                <c:pt idx="367">
                  <c:v>3.7</c:v>
                </c:pt>
                <c:pt idx="368">
                  <c:v>3.3</c:v>
                </c:pt>
                <c:pt idx="369">
                  <c:v>1.9</c:v>
                </c:pt>
                <c:pt idx="370">
                  <c:v>21</c:v>
                </c:pt>
                <c:pt idx="371">
                  <c:v>1.0980000000000001</c:v>
                </c:pt>
                <c:pt idx="372">
                  <c:v>4</c:v>
                </c:pt>
                <c:pt idx="373">
                  <c:v>5</c:v>
                </c:pt>
                <c:pt idx="374">
                  <c:v>0.1</c:v>
                </c:pt>
                <c:pt idx="375">
                  <c:v>0.3</c:v>
                </c:pt>
                <c:pt idx="376">
                  <c:v>0.35</c:v>
                </c:pt>
                <c:pt idx="377">
                  <c:v>0.7</c:v>
                </c:pt>
                <c:pt idx="378">
                  <c:v>0.25</c:v>
                </c:pt>
                <c:pt idx="379">
                  <c:v>0.25</c:v>
                </c:pt>
                <c:pt idx="380">
                  <c:v>0.25</c:v>
                </c:pt>
                <c:pt idx="381">
                  <c:v>0.25</c:v>
                </c:pt>
                <c:pt idx="382">
                  <c:v>2.6</c:v>
                </c:pt>
                <c:pt idx="383">
                  <c:v>7</c:v>
                </c:pt>
                <c:pt idx="384">
                  <c:v>14.1</c:v>
                </c:pt>
                <c:pt idx="385">
                  <c:v>12.2</c:v>
                </c:pt>
                <c:pt idx="386">
                  <c:v>5.4</c:v>
                </c:pt>
                <c:pt idx="387">
                  <c:v>2.1960000000000002</c:v>
                </c:pt>
                <c:pt idx="388">
                  <c:v>0.2</c:v>
                </c:pt>
                <c:pt idx="389">
                  <c:v>9</c:v>
                </c:pt>
                <c:pt idx="390">
                  <c:v>0.7</c:v>
                </c:pt>
                <c:pt idx="391">
                  <c:v>2.8</c:v>
                </c:pt>
                <c:pt idx="392">
                  <c:v>3.3</c:v>
                </c:pt>
                <c:pt idx="393">
                  <c:v>0.1</c:v>
                </c:pt>
                <c:pt idx="394">
                  <c:v>3.1</c:v>
                </c:pt>
                <c:pt idx="395">
                  <c:v>6.5</c:v>
                </c:pt>
                <c:pt idx="396">
                  <c:v>1.1000000000000001</c:v>
                </c:pt>
                <c:pt idx="397">
                  <c:v>1.1000000000000001</c:v>
                </c:pt>
                <c:pt idx="398">
                  <c:v>1.1000000000000001</c:v>
                </c:pt>
                <c:pt idx="399">
                  <c:v>1.1000000000000001</c:v>
                </c:pt>
                <c:pt idx="400">
                  <c:v>1.1000000000000001</c:v>
                </c:pt>
                <c:pt idx="401">
                  <c:v>9.5</c:v>
                </c:pt>
                <c:pt idx="402">
                  <c:v>0.16300000000000001</c:v>
                </c:pt>
                <c:pt idx="403">
                  <c:v>5.0999999999999996</c:v>
                </c:pt>
                <c:pt idx="404">
                  <c:v>27</c:v>
                </c:pt>
                <c:pt idx="405">
                  <c:v>1.9</c:v>
                </c:pt>
                <c:pt idx="406">
                  <c:v>10.5</c:v>
                </c:pt>
                <c:pt idx="407">
                  <c:v>0.2</c:v>
                </c:pt>
                <c:pt idx="408">
                  <c:v>0.2</c:v>
                </c:pt>
                <c:pt idx="409">
                  <c:v>12</c:v>
                </c:pt>
                <c:pt idx="410">
                  <c:v>17.5</c:v>
                </c:pt>
                <c:pt idx="411">
                  <c:v>3</c:v>
                </c:pt>
                <c:pt idx="412">
                  <c:v>7.6000000000000014</c:v>
                </c:pt>
                <c:pt idx="413">
                  <c:v>15.1</c:v>
                </c:pt>
                <c:pt idx="414">
                  <c:v>16.7</c:v>
                </c:pt>
                <c:pt idx="415">
                  <c:v>10</c:v>
                </c:pt>
                <c:pt idx="416">
                  <c:v>10</c:v>
                </c:pt>
                <c:pt idx="417">
                  <c:v>20</c:v>
                </c:pt>
                <c:pt idx="418">
                  <c:v>20</c:v>
                </c:pt>
                <c:pt idx="419">
                  <c:v>8</c:v>
                </c:pt>
                <c:pt idx="420">
                  <c:v>5.5</c:v>
                </c:pt>
                <c:pt idx="421">
                  <c:v>4</c:v>
                </c:pt>
                <c:pt idx="422">
                  <c:v>7.6</c:v>
                </c:pt>
                <c:pt idx="423">
                  <c:v>7.6</c:v>
                </c:pt>
                <c:pt idx="424">
                  <c:v>0.77500000000000002</c:v>
                </c:pt>
                <c:pt idx="425">
                  <c:v>0.77500000000000002</c:v>
                </c:pt>
                <c:pt idx="426">
                  <c:v>1</c:v>
                </c:pt>
                <c:pt idx="427">
                  <c:v>5</c:v>
                </c:pt>
                <c:pt idx="428">
                  <c:v>19</c:v>
                </c:pt>
                <c:pt idx="429">
                  <c:v>3</c:v>
                </c:pt>
                <c:pt idx="430">
                  <c:v>3</c:v>
                </c:pt>
                <c:pt idx="431">
                  <c:v>20.8</c:v>
                </c:pt>
                <c:pt idx="432">
                  <c:v>11</c:v>
                </c:pt>
                <c:pt idx="433">
                  <c:v>0.1</c:v>
                </c:pt>
                <c:pt idx="434">
                  <c:v>6</c:v>
                </c:pt>
                <c:pt idx="435">
                  <c:v>32.5</c:v>
                </c:pt>
                <c:pt idx="436">
                  <c:v>4.3</c:v>
                </c:pt>
                <c:pt idx="437">
                  <c:v>4.9000000000000004</c:v>
                </c:pt>
                <c:pt idx="440">
                  <c:v>5</c:v>
                </c:pt>
                <c:pt idx="441">
                  <c:v>13.5</c:v>
                </c:pt>
                <c:pt idx="442">
                  <c:v>13</c:v>
                </c:pt>
                <c:pt idx="443">
                  <c:v>13</c:v>
                </c:pt>
                <c:pt idx="444">
                  <c:v>12.6</c:v>
                </c:pt>
                <c:pt idx="445">
                  <c:v>5</c:v>
                </c:pt>
                <c:pt idx="446">
                  <c:v>5.5</c:v>
                </c:pt>
                <c:pt idx="447">
                  <c:v>27</c:v>
                </c:pt>
                <c:pt idx="448">
                  <c:v>16.5</c:v>
                </c:pt>
                <c:pt idx="449">
                  <c:v>48</c:v>
                </c:pt>
                <c:pt idx="450">
                  <c:v>8</c:v>
                </c:pt>
                <c:pt idx="451">
                  <c:v>8.5</c:v>
                </c:pt>
                <c:pt idx="452">
                  <c:v>12.5</c:v>
                </c:pt>
                <c:pt idx="453">
                  <c:v>17</c:v>
                </c:pt>
                <c:pt idx="454">
                  <c:v>3.7</c:v>
                </c:pt>
                <c:pt idx="455">
                  <c:v>5.8</c:v>
                </c:pt>
                <c:pt idx="456">
                  <c:v>6.9</c:v>
                </c:pt>
                <c:pt idx="457">
                  <c:v>13.1</c:v>
                </c:pt>
                <c:pt idx="458">
                  <c:v>13.8</c:v>
                </c:pt>
                <c:pt idx="461">
                  <c:v>0.6</c:v>
                </c:pt>
                <c:pt idx="462">
                  <c:v>0.04</c:v>
                </c:pt>
                <c:pt idx="464">
                  <c:v>3.6</c:v>
                </c:pt>
                <c:pt idx="465">
                  <c:v>3.6</c:v>
                </c:pt>
                <c:pt idx="466">
                  <c:v>0.51</c:v>
                </c:pt>
                <c:pt idx="467">
                  <c:v>0.75</c:v>
                </c:pt>
                <c:pt idx="468">
                  <c:v>0.4</c:v>
                </c:pt>
                <c:pt idx="469">
                  <c:v>4</c:v>
                </c:pt>
                <c:pt idx="470">
                  <c:v>9</c:v>
                </c:pt>
                <c:pt idx="471">
                  <c:v>7</c:v>
                </c:pt>
                <c:pt idx="472">
                  <c:v>8.8000000000000007</c:v>
                </c:pt>
                <c:pt idx="473">
                  <c:v>8.5</c:v>
                </c:pt>
                <c:pt idx="474">
                  <c:v>0.6</c:v>
                </c:pt>
                <c:pt idx="475">
                  <c:v>9</c:v>
                </c:pt>
                <c:pt idx="476">
                  <c:v>1.5</c:v>
                </c:pt>
                <c:pt idx="477">
                  <c:v>8.5</c:v>
                </c:pt>
                <c:pt idx="478">
                  <c:v>15</c:v>
                </c:pt>
                <c:pt idx="479">
                  <c:v>3.1</c:v>
                </c:pt>
                <c:pt idx="481">
                  <c:v>45</c:v>
                </c:pt>
                <c:pt idx="482">
                  <c:v>6.6</c:v>
                </c:pt>
                <c:pt idx="483">
                  <c:v>14</c:v>
                </c:pt>
                <c:pt idx="484">
                  <c:v>0.45</c:v>
                </c:pt>
                <c:pt idx="485">
                  <c:v>9</c:v>
                </c:pt>
                <c:pt idx="486">
                  <c:v>5</c:v>
                </c:pt>
                <c:pt idx="487">
                  <c:v>2</c:v>
                </c:pt>
                <c:pt idx="488">
                  <c:v>0.5</c:v>
                </c:pt>
                <c:pt idx="489">
                  <c:v>7.5</c:v>
                </c:pt>
                <c:pt idx="490">
                  <c:v>2.1800000000000002</c:v>
                </c:pt>
                <c:pt idx="491">
                  <c:v>7</c:v>
                </c:pt>
                <c:pt idx="492">
                  <c:v>5.2</c:v>
                </c:pt>
                <c:pt idx="493">
                  <c:v>2.7</c:v>
                </c:pt>
                <c:pt idx="494">
                  <c:v>3</c:v>
                </c:pt>
                <c:pt idx="495">
                  <c:v>31.5</c:v>
                </c:pt>
                <c:pt idx="496">
                  <c:v>5.5</c:v>
                </c:pt>
                <c:pt idx="497">
                  <c:v>10</c:v>
                </c:pt>
                <c:pt idx="498">
                  <c:v>3.4</c:v>
                </c:pt>
                <c:pt idx="499">
                  <c:v>3.1</c:v>
                </c:pt>
                <c:pt idx="500">
                  <c:v>14.8</c:v>
                </c:pt>
                <c:pt idx="501">
                  <c:v>23.5</c:v>
                </c:pt>
                <c:pt idx="502">
                  <c:v>4.0999999999999996</c:v>
                </c:pt>
                <c:pt idx="503">
                  <c:v>3.5</c:v>
                </c:pt>
                <c:pt idx="504">
                  <c:v>4.5</c:v>
                </c:pt>
                <c:pt idx="505">
                  <c:v>6.8</c:v>
                </c:pt>
                <c:pt idx="506">
                  <c:v>43</c:v>
                </c:pt>
                <c:pt idx="507">
                  <c:v>45</c:v>
                </c:pt>
                <c:pt idx="508">
                  <c:v>11</c:v>
                </c:pt>
                <c:pt idx="509">
                  <c:v>7.1</c:v>
                </c:pt>
                <c:pt idx="510">
                  <c:v>7.2</c:v>
                </c:pt>
                <c:pt idx="511">
                  <c:v>10.8</c:v>
                </c:pt>
                <c:pt idx="512">
                  <c:v>24</c:v>
                </c:pt>
                <c:pt idx="513">
                  <c:v>14</c:v>
                </c:pt>
                <c:pt idx="514">
                  <c:v>13.6</c:v>
                </c:pt>
                <c:pt idx="515">
                  <c:v>13.7</c:v>
                </c:pt>
                <c:pt idx="516">
                  <c:v>13.6</c:v>
                </c:pt>
                <c:pt idx="517">
                  <c:v>4</c:v>
                </c:pt>
                <c:pt idx="518">
                  <c:v>2</c:v>
                </c:pt>
                <c:pt idx="519">
                  <c:v>19</c:v>
                </c:pt>
                <c:pt idx="520">
                  <c:v>35</c:v>
                </c:pt>
                <c:pt idx="521">
                  <c:v>21</c:v>
                </c:pt>
                <c:pt idx="522">
                  <c:v>3.6</c:v>
                </c:pt>
                <c:pt idx="523">
                  <c:v>5.5</c:v>
                </c:pt>
                <c:pt idx="524">
                  <c:v>15</c:v>
                </c:pt>
                <c:pt idx="525">
                  <c:v>4</c:v>
                </c:pt>
                <c:pt idx="526">
                  <c:v>2.6</c:v>
                </c:pt>
                <c:pt idx="527">
                  <c:v>4.2</c:v>
                </c:pt>
                <c:pt idx="528">
                  <c:v>3.1</c:v>
                </c:pt>
                <c:pt idx="529">
                  <c:v>20.9</c:v>
                </c:pt>
                <c:pt idx="530">
                  <c:v>2</c:v>
                </c:pt>
                <c:pt idx="531">
                  <c:v>5.5</c:v>
                </c:pt>
                <c:pt idx="532">
                  <c:v>4</c:v>
                </c:pt>
                <c:pt idx="535">
                  <c:v>0.1</c:v>
                </c:pt>
                <c:pt idx="536">
                  <c:v>3.5</c:v>
                </c:pt>
                <c:pt idx="537">
                  <c:v>4.8</c:v>
                </c:pt>
                <c:pt idx="538">
                  <c:v>0.05</c:v>
                </c:pt>
                <c:pt idx="539">
                  <c:v>2.5</c:v>
                </c:pt>
                <c:pt idx="540">
                  <c:v>4.5</c:v>
                </c:pt>
                <c:pt idx="541">
                  <c:v>0.6</c:v>
                </c:pt>
                <c:pt idx="542">
                  <c:v>0.5</c:v>
                </c:pt>
                <c:pt idx="543">
                  <c:v>2.7</c:v>
                </c:pt>
                <c:pt idx="544">
                  <c:v>0.7</c:v>
                </c:pt>
                <c:pt idx="546">
                  <c:v>3</c:v>
                </c:pt>
                <c:pt idx="547">
                  <c:v>0.2</c:v>
                </c:pt>
                <c:pt idx="548">
                  <c:v>0.2</c:v>
                </c:pt>
                <c:pt idx="549">
                  <c:v>6.4</c:v>
                </c:pt>
                <c:pt idx="550">
                  <c:v>6.2</c:v>
                </c:pt>
                <c:pt idx="551">
                  <c:v>0.9</c:v>
                </c:pt>
                <c:pt idx="552">
                  <c:v>9.5</c:v>
                </c:pt>
                <c:pt idx="553">
                  <c:v>8.1</c:v>
                </c:pt>
                <c:pt idx="555">
                  <c:v>8</c:v>
                </c:pt>
                <c:pt idx="556">
                  <c:v>8</c:v>
                </c:pt>
                <c:pt idx="557">
                  <c:v>1.155</c:v>
                </c:pt>
                <c:pt idx="558">
                  <c:v>0.4</c:v>
                </c:pt>
                <c:pt idx="559">
                  <c:v>0.4</c:v>
                </c:pt>
                <c:pt idx="560">
                  <c:v>7.9</c:v>
                </c:pt>
                <c:pt idx="561">
                  <c:v>7.5</c:v>
                </c:pt>
                <c:pt idx="562">
                  <c:v>4.0999999999999996</c:v>
                </c:pt>
                <c:pt idx="563">
                  <c:v>1.1000000000000001</c:v>
                </c:pt>
                <c:pt idx="564">
                  <c:v>4.25</c:v>
                </c:pt>
                <c:pt idx="565">
                  <c:v>19.899999999999999</c:v>
                </c:pt>
                <c:pt idx="566">
                  <c:v>4</c:v>
                </c:pt>
                <c:pt idx="567">
                  <c:v>0.85</c:v>
                </c:pt>
                <c:pt idx="569">
                  <c:v>7.35</c:v>
                </c:pt>
                <c:pt idx="570">
                  <c:v>3.8</c:v>
                </c:pt>
                <c:pt idx="571">
                  <c:v>7.5</c:v>
                </c:pt>
                <c:pt idx="572">
                  <c:v>3.5</c:v>
                </c:pt>
                <c:pt idx="573">
                  <c:v>10.5</c:v>
                </c:pt>
                <c:pt idx="574">
                  <c:v>3.9</c:v>
                </c:pt>
                <c:pt idx="575">
                  <c:v>8</c:v>
                </c:pt>
                <c:pt idx="576">
                  <c:v>3.2</c:v>
                </c:pt>
                <c:pt idx="577">
                  <c:v>0.25</c:v>
                </c:pt>
                <c:pt idx="578">
                  <c:v>0.26500000000000001</c:v>
                </c:pt>
                <c:pt idx="579">
                  <c:v>0.77800000000000002</c:v>
                </c:pt>
                <c:pt idx="580">
                  <c:v>3.7</c:v>
                </c:pt>
                <c:pt idx="581">
                  <c:v>4.5</c:v>
                </c:pt>
                <c:pt idx="582">
                  <c:v>6</c:v>
                </c:pt>
                <c:pt idx="583">
                  <c:v>0.5</c:v>
                </c:pt>
                <c:pt idx="585">
                  <c:v>12</c:v>
                </c:pt>
                <c:pt idx="586">
                  <c:v>0.7</c:v>
                </c:pt>
                <c:pt idx="587">
                  <c:v>6</c:v>
                </c:pt>
                <c:pt idx="588">
                  <c:v>2</c:v>
                </c:pt>
                <c:pt idx="589">
                  <c:v>2.2999999999999998</c:v>
                </c:pt>
                <c:pt idx="590">
                  <c:v>2.4</c:v>
                </c:pt>
                <c:pt idx="591">
                  <c:v>6</c:v>
                </c:pt>
                <c:pt idx="592">
                  <c:v>2.79</c:v>
                </c:pt>
                <c:pt idx="593">
                  <c:v>8.1</c:v>
                </c:pt>
                <c:pt idx="594">
                  <c:v>36.9</c:v>
                </c:pt>
                <c:pt idx="595">
                  <c:v>11.5</c:v>
                </c:pt>
                <c:pt idx="596">
                  <c:v>0.3</c:v>
                </c:pt>
                <c:pt idx="597">
                  <c:v>0.75</c:v>
                </c:pt>
                <c:pt idx="598">
                  <c:v>0.75</c:v>
                </c:pt>
                <c:pt idx="599">
                  <c:v>1.4</c:v>
                </c:pt>
                <c:pt idx="600">
                  <c:v>0.15</c:v>
                </c:pt>
                <c:pt idx="601">
                  <c:v>0.22</c:v>
                </c:pt>
                <c:pt idx="602">
                  <c:v>2.4</c:v>
                </c:pt>
                <c:pt idx="603">
                  <c:v>3</c:v>
                </c:pt>
                <c:pt idx="604">
                  <c:v>1.05</c:v>
                </c:pt>
                <c:pt idx="605">
                  <c:v>0.08</c:v>
                </c:pt>
                <c:pt idx="606">
                  <c:v>18.600000000000001</c:v>
                </c:pt>
                <c:pt idx="607">
                  <c:v>20</c:v>
                </c:pt>
                <c:pt idx="608">
                  <c:v>6</c:v>
                </c:pt>
                <c:pt idx="609">
                  <c:v>4.0999999999999996</c:v>
                </c:pt>
                <c:pt idx="610">
                  <c:v>3</c:v>
                </c:pt>
                <c:pt idx="611">
                  <c:v>0.6</c:v>
                </c:pt>
                <c:pt idx="612">
                  <c:v>22</c:v>
                </c:pt>
                <c:pt idx="613">
                  <c:v>9</c:v>
                </c:pt>
                <c:pt idx="614">
                  <c:v>21.4</c:v>
                </c:pt>
                <c:pt idx="615">
                  <c:v>11.8</c:v>
                </c:pt>
                <c:pt idx="616">
                  <c:v>4</c:v>
                </c:pt>
                <c:pt idx="617">
                  <c:v>9</c:v>
                </c:pt>
                <c:pt idx="618">
                  <c:v>3</c:v>
                </c:pt>
                <c:pt idx="619">
                  <c:v>30</c:v>
                </c:pt>
                <c:pt idx="620">
                  <c:v>2.8</c:v>
                </c:pt>
                <c:pt idx="621">
                  <c:v>3.6</c:v>
                </c:pt>
                <c:pt idx="622">
                  <c:v>3.3</c:v>
                </c:pt>
                <c:pt idx="623">
                  <c:v>3</c:v>
                </c:pt>
                <c:pt idx="624">
                  <c:v>0.8</c:v>
                </c:pt>
                <c:pt idx="625">
                  <c:v>10</c:v>
                </c:pt>
                <c:pt idx="626">
                  <c:v>19</c:v>
                </c:pt>
                <c:pt idx="627">
                  <c:v>6.7</c:v>
                </c:pt>
                <c:pt idx="628">
                  <c:v>6.8</c:v>
                </c:pt>
                <c:pt idx="629">
                  <c:v>18.3</c:v>
                </c:pt>
                <c:pt idx="630">
                  <c:v>8.6</c:v>
                </c:pt>
                <c:pt idx="631">
                  <c:v>0.2</c:v>
                </c:pt>
                <c:pt idx="632">
                  <c:v>17</c:v>
                </c:pt>
                <c:pt idx="633">
                  <c:v>8.1</c:v>
                </c:pt>
                <c:pt idx="634">
                  <c:v>12</c:v>
                </c:pt>
                <c:pt idx="635">
                  <c:v>26</c:v>
                </c:pt>
                <c:pt idx="636">
                  <c:v>17.899999999999999</c:v>
                </c:pt>
                <c:pt idx="637">
                  <c:v>6.6</c:v>
                </c:pt>
                <c:pt idx="638">
                  <c:v>19.8</c:v>
                </c:pt>
                <c:pt idx="639">
                  <c:v>13.5</c:v>
                </c:pt>
                <c:pt idx="640">
                  <c:v>5</c:v>
                </c:pt>
                <c:pt idx="641">
                  <c:v>16.100000000000001</c:v>
                </c:pt>
                <c:pt idx="642">
                  <c:v>0.75</c:v>
                </c:pt>
                <c:pt idx="643">
                  <c:v>1.1000000000000001</c:v>
                </c:pt>
                <c:pt idx="644">
                  <c:v>2.7</c:v>
                </c:pt>
                <c:pt idx="645">
                  <c:v>4</c:v>
                </c:pt>
                <c:pt idx="646">
                  <c:v>3</c:v>
                </c:pt>
                <c:pt idx="647">
                  <c:v>26</c:v>
                </c:pt>
                <c:pt idx="649">
                  <c:v>5.3</c:v>
                </c:pt>
                <c:pt idx="650">
                  <c:v>4.8</c:v>
                </c:pt>
                <c:pt idx="651">
                  <c:v>9.4</c:v>
                </c:pt>
                <c:pt idx="652">
                  <c:v>5</c:v>
                </c:pt>
                <c:pt idx="653">
                  <c:v>29.6</c:v>
                </c:pt>
                <c:pt idx="654">
                  <c:v>0.5</c:v>
                </c:pt>
                <c:pt idx="655">
                  <c:v>0.9</c:v>
                </c:pt>
                <c:pt idx="656">
                  <c:v>18.7</c:v>
                </c:pt>
                <c:pt idx="657">
                  <c:v>18.7</c:v>
                </c:pt>
                <c:pt idx="658">
                  <c:v>9</c:v>
                </c:pt>
                <c:pt idx="659">
                  <c:v>16</c:v>
                </c:pt>
                <c:pt idx="660">
                  <c:v>2.1</c:v>
                </c:pt>
                <c:pt idx="661">
                  <c:v>5</c:v>
                </c:pt>
                <c:pt idx="662">
                  <c:v>31</c:v>
                </c:pt>
                <c:pt idx="663">
                  <c:v>0.85</c:v>
                </c:pt>
                <c:pt idx="664">
                  <c:v>11</c:v>
                </c:pt>
                <c:pt idx="665">
                  <c:v>10</c:v>
                </c:pt>
                <c:pt idx="666">
                  <c:v>3.4</c:v>
                </c:pt>
                <c:pt idx="667">
                  <c:v>4.0999999999999996</c:v>
                </c:pt>
                <c:pt idx="668">
                  <c:v>52</c:v>
                </c:pt>
                <c:pt idx="669">
                  <c:v>7</c:v>
                </c:pt>
                <c:pt idx="670">
                  <c:v>7.5</c:v>
                </c:pt>
                <c:pt idx="671">
                  <c:v>7.5</c:v>
                </c:pt>
                <c:pt idx="672">
                  <c:v>13.5</c:v>
                </c:pt>
                <c:pt idx="673">
                  <c:v>40.5</c:v>
                </c:pt>
                <c:pt idx="674">
                  <c:v>7.4</c:v>
                </c:pt>
                <c:pt idx="675">
                  <c:v>0.1</c:v>
                </c:pt>
                <c:pt idx="676">
                  <c:v>19.8</c:v>
                </c:pt>
                <c:pt idx="677">
                  <c:v>19.399999999999999</c:v>
                </c:pt>
                <c:pt idx="678">
                  <c:v>51</c:v>
                </c:pt>
                <c:pt idx="679">
                  <c:v>5.8</c:v>
                </c:pt>
                <c:pt idx="680">
                  <c:v>6.6</c:v>
                </c:pt>
                <c:pt idx="681">
                  <c:v>3</c:v>
                </c:pt>
                <c:pt idx="682">
                  <c:v>3</c:v>
                </c:pt>
                <c:pt idx="683">
                  <c:v>18.399999999999999</c:v>
                </c:pt>
                <c:pt idx="684">
                  <c:v>20.7</c:v>
                </c:pt>
              </c:numCache>
            </c:numRef>
          </c:xVal>
          <c:yVal>
            <c:numRef>
              <c:f>CMOS!$W$2:$W$1635</c:f>
              <c:numCache>
                <c:formatCode>0.00</c:formatCode>
                <c:ptCount val="1634"/>
                <c:pt idx="1">
                  <c:v>#N/A</c:v>
                </c:pt>
                <c:pt idx="2">
                  <c:v>#N/A</c:v>
                </c:pt>
                <c:pt idx="3">
                  <c:v>#N/A</c:v>
                </c:pt>
                <c:pt idx="4">
                  <c:v>#N/A</c:v>
                </c:pt>
                <c:pt idx="5">
                  <c:v>-11.336830894902894</c:v>
                </c:pt>
                <c:pt idx="6">
                  <c:v>-9.0001205592002442</c:v>
                </c:pt>
                <c:pt idx="7">
                  <c:v>#N/A</c:v>
                </c:pt>
                <c:pt idx="8">
                  <c:v>#N/A</c:v>
                </c:pt>
                <c:pt idx="9">
                  <c:v>#N/A</c:v>
                </c:pt>
                <c:pt idx="10">
                  <c:v>#N/A</c:v>
                </c:pt>
                <c:pt idx="11">
                  <c:v>#N/A</c:v>
                </c:pt>
                <c:pt idx="12">
                  <c:v>#N/A</c:v>
                </c:pt>
                <c:pt idx="13">
                  <c:v>#N/A</c:v>
                </c:pt>
                <c:pt idx="14">
                  <c:v>-14.084233069335156</c:v>
                </c:pt>
                <c:pt idx="15">
                  <c:v>-15.32619590198664</c:v>
                </c:pt>
                <c:pt idx="16">
                  <c:v>#N/A</c:v>
                </c:pt>
                <c:pt idx="17">
                  <c:v>#N/A</c:v>
                </c:pt>
                <c:pt idx="18">
                  <c:v>#N/A</c:v>
                </c:pt>
                <c:pt idx="19">
                  <c:v>-5.2440512338933249</c:v>
                </c:pt>
                <c:pt idx="20">
                  <c:v>#N/A</c:v>
                </c:pt>
                <c:pt idx="21">
                  <c:v>#N/A</c:v>
                </c:pt>
                <c:pt idx="22">
                  <c:v>-10.241642451170717</c:v>
                </c:pt>
                <c:pt idx="23">
                  <c:v>-13.408233174848498</c:v>
                </c:pt>
                <c:pt idx="24">
                  <c:v>#N/A</c:v>
                </c:pt>
                <c:pt idx="25">
                  <c:v>-20.113741351803583</c:v>
                </c:pt>
                <c:pt idx="26">
                  <c:v>#N/A</c:v>
                </c:pt>
                <c:pt idx="27">
                  <c:v>#N/A</c:v>
                </c:pt>
                <c:pt idx="28">
                  <c:v>#N/A</c:v>
                </c:pt>
                <c:pt idx="29">
                  <c:v>-17.644591265007303</c:v>
                </c:pt>
                <c:pt idx="30">
                  <c:v>-6.8601814165873414</c:v>
                </c:pt>
                <c:pt idx="31">
                  <c:v>-12.567269537600488</c:v>
                </c:pt>
                <c:pt idx="32">
                  <c:v>-16.852226172015872</c:v>
                </c:pt>
                <c:pt idx="33">
                  <c:v>-14.376879523550521</c:v>
                </c:pt>
                <c:pt idx="34">
                  <c:v>-11.466639147334821</c:v>
                </c:pt>
                <c:pt idx="35">
                  <c:v>-18.342048682917529</c:v>
                </c:pt>
                <c:pt idx="36">
                  <c:v>-10.472743690060804</c:v>
                </c:pt>
                <c:pt idx="37">
                  <c:v>-11.401759210735603</c:v>
                </c:pt>
                <c:pt idx="38">
                  <c:v>-15.383999399140439</c:v>
                </c:pt>
                <c:pt idx="39">
                  <c:v>-13.183800685504618</c:v>
                </c:pt>
                <c:pt idx="40">
                  <c:v>#N/A</c:v>
                </c:pt>
                <c:pt idx="41">
                  <c:v>#N/A</c:v>
                </c:pt>
                <c:pt idx="42">
                  <c:v>-13.426502509120255</c:v>
                </c:pt>
                <c:pt idx="43">
                  <c:v>-10.480302706072065</c:v>
                </c:pt>
                <c:pt idx="44">
                  <c:v>-9.5487732736107631</c:v>
                </c:pt>
                <c:pt idx="45">
                  <c:v>#N/A</c:v>
                </c:pt>
                <c:pt idx="46">
                  <c:v>#N/A</c:v>
                </c:pt>
                <c:pt idx="47">
                  <c:v>#N/A</c:v>
                </c:pt>
                <c:pt idx="48">
                  <c:v>#N/A</c:v>
                </c:pt>
                <c:pt idx="49">
                  <c:v>#N/A</c:v>
                </c:pt>
                <c:pt idx="50">
                  <c:v>#N/A</c:v>
                </c:pt>
                <c:pt idx="51">
                  <c:v>#N/A</c:v>
                </c:pt>
                <c:pt idx="52">
                  <c:v>#N/A</c:v>
                </c:pt>
                <c:pt idx="53">
                  <c:v>-10.697665042094711</c:v>
                </c:pt>
                <c:pt idx="54">
                  <c:v>-11.08936794335763</c:v>
                </c:pt>
                <c:pt idx="55">
                  <c:v>#N/A</c:v>
                </c:pt>
                <c:pt idx="56">
                  <c:v>-8.51427294009466</c:v>
                </c:pt>
                <c:pt idx="57">
                  <c:v>-11.156874267915658</c:v>
                </c:pt>
                <c:pt idx="58">
                  <c:v>-14.385124538469569</c:v>
                </c:pt>
                <c:pt idx="59">
                  <c:v>#N/A</c:v>
                </c:pt>
                <c:pt idx="60">
                  <c:v>#N/A</c:v>
                </c:pt>
                <c:pt idx="61">
                  <c:v>#N/A</c:v>
                </c:pt>
                <c:pt idx="62">
                  <c:v>#N/A</c:v>
                </c:pt>
                <c:pt idx="63">
                  <c:v>-10.926403103402979</c:v>
                </c:pt>
                <c:pt idx="64">
                  <c:v>-11.14014347004448</c:v>
                </c:pt>
                <c:pt idx="65">
                  <c:v>-18.150375766508148</c:v>
                </c:pt>
                <c:pt idx="66">
                  <c:v>-19.622328095160363</c:v>
                </c:pt>
                <c:pt idx="67">
                  <c:v>-21.196010793384605</c:v>
                </c:pt>
                <c:pt idx="68">
                  <c:v>-14.794248634187035</c:v>
                </c:pt>
                <c:pt idx="69">
                  <c:v>#N/A</c:v>
                </c:pt>
                <c:pt idx="70">
                  <c:v>-14.329426536944004</c:v>
                </c:pt>
                <c:pt idx="71">
                  <c:v>-9.4374152374906721</c:v>
                </c:pt>
                <c:pt idx="72">
                  <c:v>#N/A</c:v>
                </c:pt>
                <c:pt idx="73">
                  <c:v>#N/A</c:v>
                </c:pt>
                <c:pt idx="74">
                  <c:v>-11.061200102656841</c:v>
                </c:pt>
                <c:pt idx="75">
                  <c:v>-12.229629959248587</c:v>
                </c:pt>
                <c:pt idx="76">
                  <c:v>-10.135670868198957</c:v>
                </c:pt>
                <c:pt idx="77">
                  <c:v>#N/A</c:v>
                </c:pt>
                <c:pt idx="78">
                  <c:v>#N/A</c:v>
                </c:pt>
                <c:pt idx="79">
                  <c:v>#N/A</c:v>
                </c:pt>
                <c:pt idx="80">
                  <c:v>#N/A</c:v>
                </c:pt>
                <c:pt idx="81">
                  <c:v>#N/A</c:v>
                </c:pt>
                <c:pt idx="82">
                  <c:v>#N/A</c:v>
                </c:pt>
                <c:pt idx="83">
                  <c:v>#N/A</c:v>
                </c:pt>
                <c:pt idx="84">
                  <c:v>#N/A</c:v>
                </c:pt>
                <c:pt idx="85">
                  <c:v>#N/A</c:v>
                </c:pt>
                <c:pt idx="86">
                  <c:v>-7.536390681253395</c:v>
                </c:pt>
                <c:pt idx="87">
                  <c:v>-7.8005011470641339</c:v>
                </c:pt>
                <c:pt idx="88">
                  <c:v>-15.356261859643119</c:v>
                </c:pt>
                <c:pt idx="89">
                  <c:v>-13.865468469898746</c:v>
                </c:pt>
                <c:pt idx="90">
                  <c:v>#N/A</c:v>
                </c:pt>
                <c:pt idx="91">
                  <c:v>#N/A</c:v>
                </c:pt>
                <c:pt idx="92">
                  <c:v>-12.527980686128979</c:v>
                </c:pt>
                <c:pt idx="93">
                  <c:v>#N/A</c:v>
                </c:pt>
                <c:pt idx="94">
                  <c:v>-13.067214175347207</c:v>
                </c:pt>
                <c:pt idx="95">
                  <c:v>-18.063198944528345</c:v>
                </c:pt>
                <c:pt idx="96">
                  <c:v>#N/A</c:v>
                </c:pt>
                <c:pt idx="97">
                  <c:v>-16.144766790551081</c:v>
                </c:pt>
                <c:pt idx="98">
                  <c:v>#N/A</c:v>
                </c:pt>
                <c:pt idx="99">
                  <c:v>-11.051412840982373</c:v>
                </c:pt>
                <c:pt idx="100">
                  <c:v>-13.941809985826916</c:v>
                </c:pt>
                <c:pt idx="101">
                  <c:v>-13.94138931591117</c:v>
                </c:pt>
                <c:pt idx="102">
                  <c:v>#N/A</c:v>
                </c:pt>
                <c:pt idx="103">
                  <c:v>-6.9643817074449785</c:v>
                </c:pt>
                <c:pt idx="104">
                  <c:v>#N/A</c:v>
                </c:pt>
                <c:pt idx="105">
                  <c:v>#N/A</c:v>
                </c:pt>
                <c:pt idx="106">
                  <c:v>-22.390538687044497</c:v>
                </c:pt>
                <c:pt idx="107">
                  <c:v>-15.009848176447012</c:v>
                </c:pt>
                <c:pt idx="108">
                  <c:v>#N/A</c:v>
                </c:pt>
                <c:pt idx="109">
                  <c:v>-22.900574687578523</c:v>
                </c:pt>
                <c:pt idx="110">
                  <c:v>-16.006975766270259</c:v>
                </c:pt>
                <c:pt idx="111">
                  <c:v>#N/A</c:v>
                </c:pt>
                <c:pt idx="112">
                  <c:v>-18.781074788994609</c:v>
                </c:pt>
                <c:pt idx="113">
                  <c:v>-17.708881023237304</c:v>
                </c:pt>
                <c:pt idx="114">
                  <c:v>-20.431890611338609</c:v>
                </c:pt>
                <c:pt idx="115">
                  <c:v>-17.627589663070289</c:v>
                </c:pt>
                <c:pt idx="116">
                  <c:v>#N/A</c:v>
                </c:pt>
                <c:pt idx="117">
                  <c:v>#N/A</c:v>
                </c:pt>
                <c:pt idx="118">
                  <c:v>-18.327562360105443</c:v>
                </c:pt>
                <c:pt idx="119">
                  <c:v>-18.424980218677007</c:v>
                </c:pt>
                <c:pt idx="120">
                  <c:v>-19.182239177608366</c:v>
                </c:pt>
                <c:pt idx="121">
                  <c:v>-12.339353355760498</c:v>
                </c:pt>
                <c:pt idx="122">
                  <c:v>-15.426634156349486</c:v>
                </c:pt>
                <c:pt idx="123">
                  <c:v>#N/A</c:v>
                </c:pt>
                <c:pt idx="124">
                  <c:v>-14.336004784739947</c:v>
                </c:pt>
                <c:pt idx="125">
                  <c:v>-14.386179944343068</c:v>
                </c:pt>
                <c:pt idx="126">
                  <c:v>-14.011768617823636</c:v>
                </c:pt>
                <c:pt idx="127">
                  <c:v>-15.814189871280668</c:v>
                </c:pt>
                <c:pt idx="128">
                  <c:v>-10.131303066794743</c:v>
                </c:pt>
                <c:pt idx="129">
                  <c:v>-12.058200845819151</c:v>
                </c:pt>
                <c:pt idx="130">
                  <c:v>#N/A</c:v>
                </c:pt>
                <c:pt idx="131">
                  <c:v>-12.511026398799997</c:v>
                </c:pt>
                <c:pt idx="132">
                  <c:v>#N/A</c:v>
                </c:pt>
                <c:pt idx="133">
                  <c:v>#N/A</c:v>
                </c:pt>
                <c:pt idx="134">
                  <c:v>#N/A</c:v>
                </c:pt>
                <c:pt idx="135">
                  <c:v>-14.426478738570555</c:v>
                </c:pt>
                <c:pt idx="136">
                  <c:v>-14.710417666857932</c:v>
                </c:pt>
                <c:pt idx="137">
                  <c:v>#N/A</c:v>
                </c:pt>
                <c:pt idx="138">
                  <c:v>-13.793620528598458</c:v>
                </c:pt>
                <c:pt idx="139">
                  <c:v>-13.673699598736887</c:v>
                </c:pt>
                <c:pt idx="140">
                  <c:v>-7.107648511355257</c:v>
                </c:pt>
                <c:pt idx="141">
                  <c:v>-33.449065813406492</c:v>
                </c:pt>
                <c:pt idx="142">
                  <c:v>-34.813735590642459</c:v>
                </c:pt>
                <c:pt idx="143">
                  <c:v>-10.030777424732063</c:v>
                </c:pt>
                <c:pt idx="144">
                  <c:v>-13.237014698481971</c:v>
                </c:pt>
                <c:pt idx="145">
                  <c:v>#N/A</c:v>
                </c:pt>
                <c:pt idx="146">
                  <c:v>#N/A</c:v>
                </c:pt>
                <c:pt idx="147">
                  <c:v>#N/A</c:v>
                </c:pt>
                <c:pt idx="148">
                  <c:v>#N/A</c:v>
                </c:pt>
                <c:pt idx="149">
                  <c:v>#N/A</c:v>
                </c:pt>
                <c:pt idx="150">
                  <c:v>#N/A</c:v>
                </c:pt>
                <c:pt idx="151">
                  <c:v>#N/A</c:v>
                </c:pt>
                <c:pt idx="152">
                  <c:v>#N/A</c:v>
                </c:pt>
                <c:pt idx="153">
                  <c:v>#N/A</c:v>
                </c:pt>
                <c:pt idx="154">
                  <c:v>#N/A</c:v>
                </c:pt>
                <c:pt idx="155">
                  <c:v>-22.235982249000024</c:v>
                </c:pt>
                <c:pt idx="156">
                  <c:v>-18.288264823348864</c:v>
                </c:pt>
                <c:pt idx="157">
                  <c:v>-10.175893208891519</c:v>
                </c:pt>
                <c:pt idx="158">
                  <c:v>#N/A</c:v>
                </c:pt>
                <c:pt idx="159">
                  <c:v>#N/A</c:v>
                </c:pt>
                <c:pt idx="160">
                  <c:v>-10.189600730668591</c:v>
                </c:pt>
                <c:pt idx="161">
                  <c:v>-9.6146617264008185</c:v>
                </c:pt>
                <c:pt idx="162">
                  <c:v>-7.9329824786327032</c:v>
                </c:pt>
                <c:pt idx="163">
                  <c:v>-5.8396614449081872</c:v>
                </c:pt>
                <c:pt idx="164">
                  <c:v>-18.303433509850262</c:v>
                </c:pt>
                <c:pt idx="165">
                  <c:v>-12.914228831038612</c:v>
                </c:pt>
                <c:pt idx="166">
                  <c:v>-9.5648892393615164</c:v>
                </c:pt>
                <c:pt idx="167">
                  <c:v>-8.1858161222825547</c:v>
                </c:pt>
                <c:pt idx="168">
                  <c:v>-8.9117853268908469</c:v>
                </c:pt>
                <c:pt idx="169">
                  <c:v>-21.053212096976726</c:v>
                </c:pt>
                <c:pt idx="170">
                  <c:v>-9.6876380568158798</c:v>
                </c:pt>
                <c:pt idx="171">
                  <c:v>-10.111326682025762</c:v>
                </c:pt>
                <c:pt idx="172">
                  <c:v>-10.111326682025762</c:v>
                </c:pt>
                <c:pt idx="173">
                  <c:v>#N/A</c:v>
                </c:pt>
                <c:pt idx="174">
                  <c:v>#N/A</c:v>
                </c:pt>
                <c:pt idx="175">
                  <c:v>-15.389513991874178</c:v>
                </c:pt>
                <c:pt idx="176">
                  <c:v>-21.81992019359647</c:v>
                </c:pt>
                <c:pt idx="177">
                  <c:v>-24.486848291423144</c:v>
                </c:pt>
                <c:pt idx="178">
                  <c:v>-10.853909865583811</c:v>
                </c:pt>
                <c:pt idx="179">
                  <c:v>-10.021503676048631</c:v>
                </c:pt>
                <c:pt idx="180">
                  <c:v>-16.778945301499622</c:v>
                </c:pt>
                <c:pt idx="181">
                  <c:v>-8.0597193885587544</c:v>
                </c:pt>
                <c:pt idx="182">
                  <c:v>#N/A</c:v>
                </c:pt>
                <c:pt idx="183">
                  <c:v>-12.261164613351644</c:v>
                </c:pt>
                <c:pt idx="184">
                  <c:v>-11.523657893103312</c:v>
                </c:pt>
                <c:pt idx="185">
                  <c:v>-18.020617572777844</c:v>
                </c:pt>
                <c:pt idx="186">
                  <c:v>#N/A</c:v>
                </c:pt>
                <c:pt idx="187">
                  <c:v>#N/A</c:v>
                </c:pt>
                <c:pt idx="188">
                  <c:v>#N/A</c:v>
                </c:pt>
                <c:pt idx="190">
                  <c:v>-11.799104379896418</c:v>
                </c:pt>
                <c:pt idx="191">
                  <c:v>#N/A</c:v>
                </c:pt>
                <c:pt idx="192">
                  <c:v>#N/A</c:v>
                </c:pt>
                <c:pt idx="193">
                  <c:v>#N/A</c:v>
                </c:pt>
                <c:pt idx="194">
                  <c:v>#N/A</c:v>
                </c:pt>
                <c:pt idx="195">
                  <c:v>-12.265048667939203</c:v>
                </c:pt>
                <c:pt idx="196">
                  <c:v>#N/A</c:v>
                </c:pt>
                <c:pt idx="197">
                  <c:v>#N/A</c:v>
                </c:pt>
                <c:pt idx="198">
                  <c:v>#N/A</c:v>
                </c:pt>
                <c:pt idx="199">
                  <c:v>-9.4461630373497645</c:v>
                </c:pt>
                <c:pt idx="200">
                  <c:v>#N/A</c:v>
                </c:pt>
                <c:pt idx="201">
                  <c:v>#N/A</c:v>
                </c:pt>
                <c:pt idx="202">
                  <c:v>#N/A</c:v>
                </c:pt>
                <c:pt idx="203">
                  <c:v>#N/A</c:v>
                </c:pt>
                <c:pt idx="204">
                  <c:v>#N/A</c:v>
                </c:pt>
                <c:pt idx="205">
                  <c:v>#N/A</c:v>
                </c:pt>
                <c:pt idx="206">
                  <c:v>-15.493169476841596</c:v>
                </c:pt>
                <c:pt idx="207">
                  <c:v>#N/A</c:v>
                </c:pt>
                <c:pt idx="208">
                  <c:v>#N/A</c:v>
                </c:pt>
                <c:pt idx="209">
                  <c:v>-11.905284588992995</c:v>
                </c:pt>
                <c:pt idx="210">
                  <c:v>-12.899430181181041</c:v>
                </c:pt>
                <c:pt idx="211">
                  <c:v>-13.599326643836884</c:v>
                </c:pt>
                <c:pt idx="212">
                  <c:v>#N/A</c:v>
                </c:pt>
                <c:pt idx="213">
                  <c:v>-13.593606045415001</c:v>
                </c:pt>
                <c:pt idx="214">
                  <c:v>-13.381482558078659</c:v>
                </c:pt>
                <c:pt idx="215">
                  <c:v>#N/A</c:v>
                </c:pt>
                <c:pt idx="216">
                  <c:v>#N/A</c:v>
                </c:pt>
                <c:pt idx="217">
                  <c:v>-12.127803282741906</c:v>
                </c:pt>
                <c:pt idx="218">
                  <c:v>#N/A</c:v>
                </c:pt>
                <c:pt idx="219">
                  <c:v>-12.213058199844752</c:v>
                </c:pt>
                <c:pt idx="220">
                  <c:v>#N/A</c:v>
                </c:pt>
                <c:pt idx="221">
                  <c:v>#N/A</c:v>
                </c:pt>
                <c:pt idx="222">
                  <c:v>#N/A</c:v>
                </c:pt>
                <c:pt idx="223">
                  <c:v>#N/A</c:v>
                </c:pt>
                <c:pt idx="224">
                  <c:v>#N/A</c:v>
                </c:pt>
                <c:pt idx="225">
                  <c:v>-6.7399228307316843</c:v>
                </c:pt>
                <c:pt idx="226">
                  <c:v>#N/A</c:v>
                </c:pt>
                <c:pt idx="227">
                  <c:v>#N/A</c:v>
                </c:pt>
                <c:pt idx="228">
                  <c:v>#N/A</c:v>
                </c:pt>
                <c:pt idx="229">
                  <c:v>#N/A</c:v>
                </c:pt>
                <c:pt idx="230">
                  <c:v>#N/A</c:v>
                </c:pt>
                <c:pt idx="231">
                  <c:v>-14.725602389011289</c:v>
                </c:pt>
                <c:pt idx="232">
                  <c:v>-17.089966002851327</c:v>
                </c:pt>
                <c:pt idx="233">
                  <c:v>#N/A</c:v>
                </c:pt>
                <c:pt idx="234">
                  <c:v>#N/A</c:v>
                </c:pt>
                <c:pt idx="235">
                  <c:v>#N/A</c:v>
                </c:pt>
                <c:pt idx="236">
                  <c:v>-18.370038849455156</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-20.967792900162575</c:v>
                </c:pt>
                <c:pt idx="256">
                  <c:v>#N/A</c:v>
                </c:pt>
                <c:pt idx="257">
                  <c:v>#N/A</c:v>
                </c:pt>
                <c:pt idx="258">
                  <c:v>#N/A</c:v>
                </c:pt>
                <c:pt idx="259">
                  <c:v>-16.899776272555226</c:v>
                </c:pt>
                <c:pt idx="260">
                  <c:v>-19.355917258790871</c:v>
                </c:pt>
                <c:pt idx="261">
                  <c:v>-17.064783157178475</c:v>
                </c:pt>
                <c:pt idx="262">
                  <c:v>#N/A</c:v>
                </c:pt>
                <c:pt idx="263">
                  <c:v>#N/A</c:v>
                </c:pt>
                <c:pt idx="264">
                  <c:v>#N/A</c:v>
                </c:pt>
                <c:pt idx="265">
                  <c:v>#N/A</c:v>
                </c:pt>
                <c:pt idx="266">
                  <c:v>#N/A</c:v>
                </c:pt>
                <c:pt idx="267">
                  <c:v>-12.479873016170155</c:v>
                </c:pt>
                <c:pt idx="268">
                  <c:v>#N/A</c:v>
                </c:pt>
                <c:pt idx="269">
                  <c:v>#N/A</c:v>
                </c:pt>
                <c:pt idx="270">
                  <c:v>#N/A</c:v>
                </c:pt>
                <c:pt idx="271">
                  <c:v>-7.4222210300449971</c:v>
                </c:pt>
                <c:pt idx="272">
                  <c:v>-7.2322563353507592</c:v>
                </c:pt>
                <c:pt idx="273">
                  <c:v>-18.478381663414353</c:v>
                </c:pt>
                <c:pt idx="274">
                  <c:v>-21.338562613472213</c:v>
                </c:pt>
                <c:pt idx="275">
                  <c:v>-13.169814935051372</c:v>
                </c:pt>
                <c:pt idx="276">
                  <c:v>-13.85541113698496</c:v>
                </c:pt>
                <c:pt idx="277">
                  <c:v>#N/A</c:v>
                </c:pt>
                <c:pt idx="278">
                  <c:v>-19.052048554178626</c:v>
                </c:pt>
                <c:pt idx="279">
                  <c:v>-13.0648550261905</c:v>
                </c:pt>
                <c:pt idx="280">
                  <c:v>-13.383044404831182</c:v>
                </c:pt>
                <c:pt idx="281">
                  <c:v>#N/A</c:v>
                </c:pt>
                <c:pt idx="282">
                  <c:v>#N/A</c:v>
                </c:pt>
                <c:pt idx="283">
                  <c:v>#N/A</c:v>
                </c:pt>
                <c:pt idx="284">
                  <c:v>#N/A</c:v>
                </c:pt>
                <c:pt idx="285">
                  <c:v>-18.698468760951798</c:v>
                </c:pt>
                <c:pt idx="286">
                  <c:v>-10.773160826471365</c:v>
                </c:pt>
                <c:pt idx="287">
                  <c:v>#N/A</c:v>
                </c:pt>
                <c:pt idx="288">
                  <c:v>-17.283152931752333</c:v>
                </c:pt>
                <c:pt idx="289">
                  <c:v>#N/A</c:v>
                </c:pt>
                <c:pt idx="290">
                  <c:v>#N/A</c:v>
                </c:pt>
                <c:pt idx="291">
                  <c:v>#N/A</c:v>
                </c:pt>
                <c:pt idx="292">
                  <c:v>-11.961796843412774</c:v>
                </c:pt>
                <c:pt idx="293">
                  <c:v>-23.084667232587481</c:v>
                </c:pt>
                <c:pt idx="294">
                  <c:v>-10.264899676584857</c:v>
                </c:pt>
                <c:pt idx="295">
                  <c:v>-13.377944651762157</c:v>
                </c:pt>
                <c:pt idx="296">
                  <c:v>-13.024694923160258</c:v>
                </c:pt>
                <c:pt idx="297">
                  <c:v>-13.500593852502982</c:v>
                </c:pt>
                <c:pt idx="298">
                  <c:v>-12.696232246998292</c:v>
                </c:pt>
                <c:pt idx="299">
                  <c:v>-8.0831410694795895</c:v>
                </c:pt>
                <c:pt idx="300">
                  <c:v>-16.569387094761368</c:v>
                </c:pt>
                <c:pt idx="301">
                  <c:v>-16.206569837743587</c:v>
                </c:pt>
                <c:pt idx="302">
                  <c:v>-15.910893331665637</c:v>
                </c:pt>
                <c:pt idx="303">
                  <c:v>-16.413709129935185</c:v>
                </c:pt>
                <c:pt idx="304">
                  <c:v>-17.204154938333481</c:v>
                </c:pt>
                <c:pt idx="305">
                  <c:v>-16.098309736953794</c:v>
                </c:pt>
                <c:pt idx="306">
                  <c:v>-15.855412198536023</c:v>
                </c:pt>
                <c:pt idx="307">
                  <c:v>-18.309850233412426</c:v>
                </c:pt>
                <c:pt idx="308">
                  <c:v>-17.019856257322232</c:v>
                </c:pt>
                <c:pt idx="309">
                  <c:v>-17.491371418906539</c:v>
                </c:pt>
                <c:pt idx="310">
                  <c:v>-19.832414987781945</c:v>
                </c:pt>
                <c:pt idx="311">
                  <c:v>-20.35013970098629</c:v>
                </c:pt>
                <c:pt idx="312">
                  <c:v>#N/A</c:v>
                </c:pt>
                <c:pt idx="313">
                  <c:v>#N/A</c:v>
                </c:pt>
                <c:pt idx="315">
                  <c:v>#N/A</c:v>
                </c:pt>
                <c:pt idx="316">
                  <c:v>#N/A</c:v>
                </c:pt>
                <c:pt idx="317">
                  <c:v>#N/A</c:v>
                </c:pt>
                <c:pt idx="318">
                  <c:v>-11.799104379896418</c:v>
                </c:pt>
                <c:pt idx="319">
                  <c:v>-10.479322627693723</c:v>
                </c:pt>
                <c:pt idx="320">
                  <c:v>#N/A</c:v>
                </c:pt>
                <c:pt idx="321">
                  <c:v>#N/A</c:v>
                </c:pt>
                <c:pt idx="322">
                  <c:v>#N/A</c:v>
                </c:pt>
                <c:pt idx="323">
                  <c:v>#N/A</c:v>
                </c:pt>
                <c:pt idx="324">
                  <c:v>-12.899430181181041</c:v>
                </c:pt>
                <c:pt idx="325">
                  <c:v>-13.599326643836884</c:v>
                </c:pt>
                <c:pt idx="326">
                  <c:v>#N/A</c:v>
                </c:pt>
                <c:pt idx="327">
                  <c:v>-10.49079323636453</c:v>
                </c:pt>
                <c:pt idx="328">
                  <c:v>#N/A</c:v>
                </c:pt>
                <c:pt idx="329">
                  <c:v>-19.391717272806279</c:v>
                </c:pt>
                <c:pt idx="330">
                  <c:v>-13.008009831790627</c:v>
                </c:pt>
                <c:pt idx="331">
                  <c:v>-13.34571003276695</c:v>
                </c:pt>
                <c:pt idx="332">
                  <c:v>#N/A</c:v>
                </c:pt>
                <c:pt idx="333">
                  <c:v>#N/A</c:v>
                </c:pt>
                <c:pt idx="334">
                  <c:v>#N/A</c:v>
                </c:pt>
                <c:pt idx="335">
                  <c:v>#N/A</c:v>
                </c:pt>
                <c:pt idx="336">
                  <c:v>#N/A</c:v>
                </c:pt>
                <c:pt idx="337">
                  <c:v>-15.952015796761964</c:v>
                </c:pt>
                <c:pt idx="338">
                  <c:v>#N/A</c:v>
                </c:pt>
                <c:pt idx="339">
                  <c:v>-19.896243133869632</c:v>
                </c:pt>
                <c:pt idx="340">
                  <c:v>#N/A</c:v>
                </c:pt>
                <c:pt idx="341">
                  <c:v>#N/A</c:v>
                </c:pt>
                <c:pt idx="342">
                  <c:v>-19.052048554178626</c:v>
                </c:pt>
                <c:pt idx="343">
                  <c:v>-19.417746396537026</c:v>
                </c:pt>
                <c:pt idx="344">
                  <c:v>#N/A</c:v>
                </c:pt>
                <c:pt idx="345">
                  <c:v>-11.781629662245647</c:v>
                </c:pt>
                <c:pt idx="346">
                  <c:v>-17.790347166857387</c:v>
                </c:pt>
                <c:pt idx="347">
                  <c:v>-17.327345481717579</c:v>
                </c:pt>
                <c:pt idx="348">
                  <c:v>-13.496136431498364</c:v>
                </c:pt>
                <c:pt idx="349">
                  <c:v>-7.7327239237211209</c:v>
                </c:pt>
                <c:pt idx="352">
                  <c:v>-9.5282626589644686</c:v>
                </c:pt>
                <c:pt idx="353">
                  <c:v>#N/A</c:v>
                </c:pt>
                <c:pt idx="354">
                  <c:v>#N/A</c:v>
                </c:pt>
                <c:pt idx="355">
                  <c:v>#N/A</c:v>
                </c:pt>
                <c:pt idx="356">
                  <c:v>#N/A</c:v>
                </c:pt>
                <c:pt idx="357">
                  <c:v>#N/A</c:v>
                </c:pt>
                <c:pt idx="358">
                  <c:v>#N/A</c:v>
                </c:pt>
                <c:pt idx="359">
                  <c:v>#N/A</c:v>
                </c:pt>
                <c:pt idx="360">
                  <c:v>-11.476917861542917</c:v>
                </c:pt>
                <c:pt idx="361">
                  <c:v>#N/A</c:v>
                </c:pt>
                <c:pt idx="362">
                  <c:v>#N/A</c:v>
                </c:pt>
                <c:pt idx="363">
                  <c:v>#N/A</c:v>
                </c:pt>
                <c:pt idx="364">
                  <c:v>#N/A</c:v>
                </c:pt>
                <c:pt idx="365">
                  <c:v>-13.040247774621193</c:v>
                </c:pt>
                <c:pt idx="366">
                  <c:v>#N/A</c:v>
                </c:pt>
                <c:pt idx="367">
                  <c:v>#N/A</c:v>
                </c:pt>
                <c:pt idx="368">
                  <c:v>#N/A</c:v>
                </c:pt>
                <c:pt idx="369">
                  <c:v>#N/A</c:v>
                </c:pt>
                <c:pt idx="370">
                  <c:v>#N/A</c:v>
                </c:pt>
                <c:pt idx="371">
                  <c:v>#N/A</c:v>
                </c:pt>
                <c:pt idx="372">
                  <c:v>-16.212715827137576</c:v>
                </c:pt>
                <c:pt idx="373">
                  <c:v>-18.373912705847932</c:v>
                </c:pt>
                <c:pt idx="374">
                  <c:v>#N/A</c:v>
                </c:pt>
                <c:pt idx="375">
                  <c:v>#N/A</c:v>
                </c:pt>
                <c:pt idx="376">
                  <c:v>-9.352486328927224</c:v>
                </c:pt>
                <c:pt idx="377">
                  <c:v>#N/A</c:v>
                </c:pt>
                <c:pt idx="378">
                  <c:v>#N/A</c:v>
                </c:pt>
                <c:pt idx="379">
                  <c:v>#N/A</c:v>
                </c:pt>
                <c:pt idx="380">
                  <c:v>#N/A</c:v>
                </c:pt>
                <c:pt idx="381">
                  <c:v>#N/A</c:v>
                </c:pt>
                <c:pt idx="382">
                  <c:v>#N/A</c:v>
                </c:pt>
                <c:pt idx="383">
                  <c:v>#N/A</c:v>
                </c:pt>
                <c:pt idx="384">
                  <c:v>-18.00795866040405</c:v>
                </c:pt>
                <c:pt idx="385">
                  <c:v>-15.270691900142491</c:v>
                </c:pt>
                <c:pt idx="386">
                  <c:v>#N/A</c:v>
                </c:pt>
                <c:pt idx="387">
                  <c:v>#N/A</c:v>
                </c:pt>
                <c:pt idx="388">
                  <c:v>-12.479873016170155</c:v>
                </c:pt>
                <c:pt idx="389">
                  <c:v>-11.5720273078538</c:v>
                </c:pt>
                <c:pt idx="390">
                  <c:v>#N/A</c:v>
                </c:pt>
                <c:pt idx="391">
                  <c:v>#N/A</c:v>
                </c:pt>
                <c:pt idx="392">
                  <c:v>#N/A</c:v>
                </c:pt>
                <c:pt idx="393">
                  <c:v>#N/A</c:v>
                </c:pt>
                <c:pt idx="394">
                  <c:v>#N/A</c:v>
                </c:pt>
                <c:pt idx="395">
                  <c:v>#N/A</c:v>
                </c:pt>
                <c:pt idx="396">
                  <c:v>#N/A</c:v>
                </c:pt>
                <c:pt idx="397">
                  <c:v>#N/A</c:v>
                </c:pt>
                <c:pt idx="398">
                  <c:v>#N/A</c:v>
                </c:pt>
                <c:pt idx="399">
                  <c:v>#N/A</c:v>
                </c:pt>
                <c:pt idx="400">
                  <c:v>#N/A</c:v>
                </c:pt>
                <c:pt idx="401">
                  <c:v>-13.004052340184913</c:v>
                </c:pt>
                <c:pt idx="402">
                  <c:v>#N/A</c:v>
                </c:pt>
                <c:pt idx="403">
                  <c:v>#N/A</c:v>
                </c:pt>
                <c:pt idx="404">
                  <c:v>#N/A</c:v>
                </c:pt>
                <c:pt idx="405">
                  <c:v>#N/A</c:v>
                </c:pt>
                <c:pt idx="406">
                  <c:v>#N/A</c:v>
                </c:pt>
                <c:pt idx="407">
                  <c:v>#N/A</c:v>
                </c:pt>
                <c:pt idx="408">
                  <c:v>#N/A</c:v>
                </c:pt>
                <c:pt idx="409">
                  <c:v>#N/A</c:v>
                </c:pt>
                <c:pt idx="410">
                  <c:v>-12.731816633791411</c:v>
                </c:pt>
                <c:pt idx="411">
                  <c:v>-17.990493069756585</c:v>
                </c:pt>
                <c:pt idx="412">
                  <c:v>-15.265613773053371</c:v>
                </c:pt>
                <c:pt idx="413">
                  <c:v>-9.4367184215566162</c:v>
                </c:pt>
                <c:pt idx="414">
                  <c:v>-9.3105657855414101</c:v>
                </c:pt>
                <c:pt idx="415">
                  <c:v>#N/A</c:v>
                </c:pt>
                <c:pt idx="416">
                  <c:v>#N/A</c:v>
                </c:pt>
                <c:pt idx="417">
                  <c:v>-15.400307614955121</c:v>
                </c:pt>
                <c:pt idx="418">
                  <c:v>-18.302778602495774</c:v>
                </c:pt>
                <c:pt idx="419">
                  <c:v>-15.494686425131697</c:v>
                </c:pt>
                <c:pt idx="420">
                  <c:v>#N/A</c:v>
                </c:pt>
                <c:pt idx="421">
                  <c:v>-19.325818893174301</c:v>
                </c:pt>
                <c:pt idx="422">
                  <c:v>#N/A</c:v>
                </c:pt>
                <c:pt idx="423">
                  <c:v>#N/A</c:v>
                </c:pt>
                <c:pt idx="424">
                  <c:v>#N/A</c:v>
                </c:pt>
                <c:pt idx="425">
                  <c:v>#N/A</c:v>
                </c:pt>
                <c:pt idx="426">
                  <c:v>-21.681097318927335</c:v>
                </c:pt>
                <c:pt idx="427">
                  <c:v>#N/A</c:v>
                </c:pt>
                <c:pt idx="428">
                  <c:v>-23.904925435749988</c:v>
                </c:pt>
                <c:pt idx="429">
                  <c:v>-14.768470562590945</c:v>
                </c:pt>
                <c:pt idx="430">
                  <c:v>-15.033355426644075</c:v>
                </c:pt>
                <c:pt idx="431">
                  <c:v>-13.55437582388878</c:v>
                </c:pt>
                <c:pt idx="432">
                  <c:v>#N/A</c:v>
                </c:pt>
                <c:pt idx="433">
                  <c:v>#N/A</c:v>
                </c:pt>
                <c:pt idx="434">
                  <c:v>-1.0124640096309325</c:v>
                </c:pt>
                <c:pt idx="435">
                  <c:v>-9.6751971175707432</c:v>
                </c:pt>
                <c:pt idx="436">
                  <c:v>-8.3690642704520837</c:v>
                </c:pt>
                <c:pt idx="437">
                  <c:v>-7.6364377061232647</c:v>
                </c:pt>
                <c:pt idx="438">
                  <c:v>#N/A</c:v>
                </c:pt>
                <c:pt idx="439">
                  <c:v>#N/A</c:v>
                </c:pt>
                <c:pt idx="440">
                  <c:v>-19.580848311875535</c:v>
                </c:pt>
                <c:pt idx="441">
                  <c:v>#N/A</c:v>
                </c:pt>
                <c:pt idx="442">
                  <c:v>-17.581609007821513</c:v>
                </c:pt>
                <c:pt idx="443">
                  <c:v>-17.182936424971381</c:v>
                </c:pt>
                <c:pt idx="444">
                  <c:v>-18.826702393249693</c:v>
                </c:pt>
                <c:pt idx="445">
                  <c:v>-21.631134081225156</c:v>
                </c:pt>
                <c:pt idx="446">
                  <c:v>-19.841983972724904</c:v>
                </c:pt>
                <c:pt idx="447">
                  <c:v>-10.415405918741246</c:v>
                </c:pt>
                <c:pt idx="448">
                  <c:v>-15.389513991874178</c:v>
                </c:pt>
                <c:pt idx="449">
                  <c:v>-22.377110213642602</c:v>
                </c:pt>
                <c:pt idx="450">
                  <c:v>-20.353212096976726</c:v>
                </c:pt>
                <c:pt idx="451">
                  <c:v>#N/A</c:v>
                </c:pt>
                <c:pt idx="452">
                  <c:v>#N/A</c:v>
                </c:pt>
                <c:pt idx="453">
                  <c:v>-9.6214719986945383</c:v>
                </c:pt>
                <c:pt idx="454">
                  <c:v>-15.377118416090909</c:v>
                </c:pt>
                <c:pt idx="455">
                  <c:v>#N/A</c:v>
                </c:pt>
                <c:pt idx="456">
                  <c:v>-13.545166333265005</c:v>
                </c:pt>
                <c:pt idx="457">
                  <c:v>-12.792032928433873</c:v>
                </c:pt>
                <c:pt idx="458">
                  <c:v>-9.2657371063724838</c:v>
                </c:pt>
                <c:pt idx="459">
                  <c:v>#N/A</c:v>
                </c:pt>
                <c:pt idx="461">
                  <c:v>#N/A</c:v>
                </c:pt>
                <c:pt idx="462">
                  <c:v>-16.371150442643291</c:v>
                </c:pt>
                <c:pt idx="463">
                  <c:v>#N/A</c:v>
                </c:pt>
                <c:pt idx="464">
                  <c:v>#N/A</c:v>
                </c:pt>
                <c:pt idx="465">
                  <c:v>-8.5269020306299126</c:v>
                </c:pt>
                <c:pt idx="466">
                  <c:v>-13.642452069668364</c:v>
                </c:pt>
                <c:pt idx="467">
                  <c:v>#N/A</c:v>
                </c:pt>
                <c:pt idx="468">
                  <c:v>#N/A</c:v>
                </c:pt>
                <c:pt idx="469">
                  <c:v>-12.974115794874525</c:v>
                </c:pt>
                <c:pt idx="470">
                  <c:v>#N/A</c:v>
                </c:pt>
                <c:pt idx="471">
                  <c:v>#N/A</c:v>
                </c:pt>
                <c:pt idx="472">
                  <c:v>-15.338751779690266</c:v>
                </c:pt>
                <c:pt idx="473">
                  <c:v>-14.14523232942031</c:v>
                </c:pt>
                <c:pt idx="474">
                  <c:v>#N/A</c:v>
                </c:pt>
                <c:pt idx="475">
                  <c:v>-13.132681497027312</c:v>
                </c:pt>
                <c:pt idx="476">
                  <c:v>#N/A</c:v>
                </c:pt>
                <c:pt idx="477">
                  <c:v>-12.021105381810909</c:v>
                </c:pt>
                <c:pt idx="478">
                  <c:v>-10.135670868198957</c:v>
                </c:pt>
                <c:pt idx="479">
                  <c:v>-14.107861641616557</c:v>
                </c:pt>
                <c:pt idx="480">
                  <c:v>#N/A</c:v>
                </c:pt>
                <c:pt idx="481">
                  <c:v>-17.025184794728059</c:v>
                </c:pt>
                <c:pt idx="482">
                  <c:v>#N/A</c:v>
                </c:pt>
                <c:pt idx="483">
                  <c:v>-15.43390124404095</c:v>
                </c:pt>
                <c:pt idx="484">
                  <c:v>-14.179093600133516</c:v>
                </c:pt>
                <c:pt idx="485">
                  <c:v>-15.21231723061385</c:v>
                </c:pt>
                <c:pt idx="486">
                  <c:v>-13.162721473710862</c:v>
                </c:pt>
                <c:pt idx="487">
                  <c:v>-5.5040073998812993</c:v>
                </c:pt>
                <c:pt idx="488">
                  <c:v>-15.842897545764801</c:v>
                </c:pt>
                <c:pt idx="489">
                  <c:v>#N/A</c:v>
                </c:pt>
                <c:pt idx="490">
                  <c:v>-8.9733841084457477</c:v>
                </c:pt>
                <c:pt idx="491">
                  <c:v>#N/A</c:v>
                </c:pt>
                <c:pt idx="492">
                  <c:v>-9.7843236103467142</c:v>
                </c:pt>
                <c:pt idx="493">
                  <c:v>#N/A</c:v>
                </c:pt>
                <c:pt idx="494">
                  <c:v>#N/A</c:v>
                </c:pt>
                <c:pt idx="495">
                  <c:v>-20.705194020117965</c:v>
                </c:pt>
                <c:pt idx="496">
                  <c:v>-17.283152931752333</c:v>
                </c:pt>
                <c:pt idx="497">
                  <c:v>#N/A</c:v>
                </c:pt>
                <c:pt idx="498">
                  <c:v>-26.159176308080092</c:v>
                </c:pt>
                <c:pt idx="499">
                  <c:v>-24.094540821704271</c:v>
                </c:pt>
                <c:pt idx="500">
                  <c:v>-24.011134328769721</c:v>
                </c:pt>
                <c:pt idx="501">
                  <c:v>#N/A</c:v>
                </c:pt>
                <c:pt idx="502">
                  <c:v>#N/A</c:v>
                </c:pt>
                <c:pt idx="503">
                  <c:v>#N/A</c:v>
                </c:pt>
                <c:pt idx="504">
                  <c:v>-16.074298792422208</c:v>
                </c:pt>
                <c:pt idx="505">
                  <c:v>-15.311562503564435</c:v>
                </c:pt>
                <c:pt idx="506">
                  <c:v>-13.694351209338102</c:v>
                </c:pt>
                <c:pt idx="507">
                  <c:v>-13.667842119103724</c:v>
                </c:pt>
                <c:pt idx="508">
                  <c:v>-9.4108940087129245</c:v>
                </c:pt>
                <c:pt idx="509">
                  <c:v>-17.197702160122052</c:v>
                </c:pt>
                <c:pt idx="510">
                  <c:v>-16.6804299434963</c:v>
                </c:pt>
                <c:pt idx="511">
                  <c:v>-21.86257023199073</c:v>
                </c:pt>
                <c:pt idx="512">
                  <c:v>-19.588077113394277</c:v>
                </c:pt>
                <c:pt idx="513">
                  <c:v>-18.5927942078279</c:v>
                </c:pt>
                <c:pt idx="514">
                  <c:v>#N/A</c:v>
                </c:pt>
                <c:pt idx="515">
                  <c:v>#N/A</c:v>
                </c:pt>
                <c:pt idx="516">
                  <c:v>#N/A</c:v>
                </c:pt>
                <c:pt idx="517">
                  <c:v>-8.5570865269516805</c:v>
                </c:pt>
                <c:pt idx="518">
                  <c:v>-12.249974419268883</c:v>
                </c:pt>
                <c:pt idx="519">
                  <c:v>-13.049348366182166</c:v>
                </c:pt>
                <c:pt idx="520">
                  <c:v>#N/A</c:v>
                </c:pt>
                <c:pt idx="521">
                  <c:v>-17.116412518707907</c:v>
                </c:pt>
                <c:pt idx="522">
                  <c:v>-11.449815302888428</c:v>
                </c:pt>
                <c:pt idx="523">
                  <c:v>#N/A</c:v>
                </c:pt>
                <c:pt idx="524">
                  <c:v>-22.108267325315207</c:v>
                </c:pt>
                <c:pt idx="525">
                  <c:v>-17.168159487624258</c:v>
                </c:pt>
                <c:pt idx="526">
                  <c:v>-18.228553473411541</c:v>
                </c:pt>
                <c:pt idx="527">
                  <c:v>-11.823556744099067</c:v>
                </c:pt>
                <c:pt idx="528">
                  <c:v>-17.412345278623174</c:v>
                </c:pt>
                <c:pt idx="529">
                  <c:v>-11.855850649169346</c:v>
                </c:pt>
                <c:pt idx="530">
                  <c:v>-17.092989382867088</c:v>
                </c:pt>
                <c:pt idx="531">
                  <c:v>-23.610003182309388</c:v>
                </c:pt>
                <c:pt idx="532">
                  <c:v>#N/A</c:v>
                </c:pt>
                <c:pt idx="535">
                  <c:v>-17.084393389902612</c:v>
                </c:pt>
                <c:pt idx="536">
                  <c:v>-16.550203449092347</c:v>
                </c:pt>
                <c:pt idx="537">
                  <c:v>-19.229331339865752</c:v>
                </c:pt>
                <c:pt idx="538">
                  <c:v>#N/A</c:v>
                </c:pt>
                <c:pt idx="539">
                  <c:v>-10.764508787036977</c:v>
                </c:pt>
                <c:pt idx="540">
                  <c:v>-12.614959221385899</c:v>
                </c:pt>
                <c:pt idx="541">
                  <c:v>-13.37930410877882</c:v>
                </c:pt>
                <c:pt idx="542">
                  <c:v>-14.578838458439623</c:v>
                </c:pt>
                <c:pt idx="543">
                  <c:v>-14.330424027531222</c:v>
                </c:pt>
                <c:pt idx="544">
                  <c:v>-7.6076663406563751</c:v>
                </c:pt>
                <c:pt idx="545">
                  <c:v>#N/A</c:v>
                </c:pt>
                <c:pt idx="546">
                  <c:v>-15.818749075534079</c:v>
                </c:pt>
                <c:pt idx="547">
                  <c:v>#N/A</c:v>
                </c:pt>
                <c:pt idx="548">
                  <c:v>#N/A</c:v>
                </c:pt>
                <c:pt idx="549">
                  <c:v>#N/A</c:v>
                </c:pt>
                <c:pt idx="550">
                  <c:v>#N/A</c:v>
                </c:pt>
                <c:pt idx="551">
                  <c:v>-14.988566087844744</c:v>
                </c:pt>
                <c:pt idx="552">
                  <c:v>-7.2104582350554676</c:v>
                </c:pt>
                <c:pt idx="553">
                  <c:v>#N/A</c:v>
                </c:pt>
                <c:pt idx="554">
                  <c:v>#N/A</c:v>
                </c:pt>
                <c:pt idx="555">
                  <c:v>#N/A</c:v>
                </c:pt>
                <c:pt idx="556">
                  <c:v>#N/A</c:v>
                </c:pt>
                <c:pt idx="557">
                  <c:v>#N/A</c:v>
                </c:pt>
                <c:pt idx="558">
                  <c:v>-12.742381514793609</c:v>
                </c:pt>
                <c:pt idx="559">
                  <c:v>-11.996445963876319</c:v>
                </c:pt>
                <c:pt idx="560">
                  <c:v>#N/A</c:v>
                </c:pt>
                <c:pt idx="561">
                  <c:v>-16.180788973302583</c:v>
                </c:pt>
                <c:pt idx="562">
                  <c:v>-9.4871322790407024</c:v>
                </c:pt>
                <c:pt idx="563">
                  <c:v>-11.437858414238192</c:v>
                </c:pt>
                <c:pt idx="564">
                  <c:v>#N/A</c:v>
                </c:pt>
                <c:pt idx="565">
                  <c:v>#N/A</c:v>
                </c:pt>
                <c:pt idx="566">
                  <c:v>-14.469199786923337</c:v>
                </c:pt>
                <c:pt idx="567">
                  <c:v>#N/A</c:v>
                </c:pt>
                <c:pt idx="568">
                  <c:v>#N/A</c:v>
                </c:pt>
                <c:pt idx="569">
                  <c:v>-10.336742143682766</c:v>
                </c:pt>
                <c:pt idx="570">
                  <c:v>-16.651897868483196</c:v>
                </c:pt>
                <c:pt idx="571">
                  <c:v>-12.975512953015336</c:v>
                </c:pt>
                <c:pt idx="572">
                  <c:v>#N/A</c:v>
                </c:pt>
                <c:pt idx="573">
                  <c:v>#N/A</c:v>
                </c:pt>
                <c:pt idx="574">
                  <c:v>#N/A</c:v>
                </c:pt>
                <c:pt idx="575">
                  <c:v>#N/A</c:v>
                </c:pt>
                <c:pt idx="576">
                  <c:v>#N/A</c:v>
                </c:pt>
                <c:pt idx="577">
                  <c:v>#N/A</c:v>
                </c:pt>
                <c:pt idx="578">
                  <c:v>#N/A</c:v>
                </c:pt>
                <c:pt idx="579">
                  <c:v>#N/A</c:v>
                </c:pt>
                <c:pt idx="580">
                  <c:v>-8.6162623862727035</c:v>
                </c:pt>
                <c:pt idx="581">
                  <c:v>-16.930976065785377</c:v>
                </c:pt>
                <c:pt idx="582">
                  <c:v>-17.707928456909201</c:v>
                </c:pt>
                <c:pt idx="583">
                  <c:v>-13.174673667125115</c:v>
                </c:pt>
                <c:pt idx="584">
                  <c:v>#N/A</c:v>
                </c:pt>
                <c:pt idx="585">
                  <c:v>-19.352455658549594</c:v>
                </c:pt>
                <c:pt idx="586">
                  <c:v>#N/A</c:v>
                </c:pt>
                <c:pt idx="587">
                  <c:v>-11.694495246677704</c:v>
                </c:pt>
                <c:pt idx="588">
                  <c:v>-4.3374582817561631</c:v>
                </c:pt>
                <c:pt idx="589">
                  <c:v>-8.4574995868111049</c:v>
                </c:pt>
                <c:pt idx="590">
                  <c:v>#N/A</c:v>
                </c:pt>
                <c:pt idx="591">
                  <c:v>-9.5468450363998514</c:v>
                </c:pt>
                <c:pt idx="592">
                  <c:v>-14.747849958179033</c:v>
                </c:pt>
                <c:pt idx="593">
                  <c:v>#N/A</c:v>
                </c:pt>
                <c:pt idx="594">
                  <c:v>-16.937037321988555</c:v>
                </c:pt>
                <c:pt idx="595">
                  <c:v>#N/A</c:v>
                </c:pt>
                <c:pt idx="596">
                  <c:v>#N/A</c:v>
                </c:pt>
                <c:pt idx="597">
                  <c:v>#N/A</c:v>
                </c:pt>
                <c:pt idx="598">
                  <c:v>#N/A</c:v>
                </c:pt>
                <c:pt idx="599">
                  <c:v>-16.171494671216159</c:v>
                </c:pt>
                <c:pt idx="600">
                  <c:v>-14.810256947875533</c:v>
                </c:pt>
                <c:pt idx="601">
                  <c:v>-13.616987715042724</c:v>
                </c:pt>
                <c:pt idx="602">
                  <c:v>#N/A</c:v>
                </c:pt>
                <c:pt idx="603">
                  <c:v>-25.501361836144277</c:v>
                </c:pt>
                <c:pt idx="604">
                  <c:v>#N/A</c:v>
                </c:pt>
                <c:pt idx="605">
                  <c:v>-18.129358122773599</c:v>
                </c:pt>
                <c:pt idx="606">
                  <c:v>#N/A</c:v>
                </c:pt>
                <c:pt idx="607">
                  <c:v>#N/A</c:v>
                </c:pt>
                <c:pt idx="608">
                  <c:v>-11.82391173515577</c:v>
                </c:pt>
                <c:pt idx="609">
                  <c:v>-12.214566239324627</c:v>
                </c:pt>
                <c:pt idx="610">
                  <c:v>#N/A</c:v>
                </c:pt>
                <c:pt idx="611">
                  <c:v>#N/A</c:v>
                </c:pt>
                <c:pt idx="612">
                  <c:v>-20.145871864857913</c:v>
                </c:pt>
                <c:pt idx="613">
                  <c:v>-12.269410964995679</c:v>
                </c:pt>
                <c:pt idx="614">
                  <c:v>#N/A</c:v>
                </c:pt>
                <c:pt idx="615">
                  <c:v>#N/A</c:v>
                </c:pt>
                <c:pt idx="616">
                  <c:v>-15.615395363924176</c:v>
                </c:pt>
                <c:pt idx="617">
                  <c:v>-12.159195928703928</c:v>
                </c:pt>
                <c:pt idx="618">
                  <c:v>-11.658645861683597</c:v>
                </c:pt>
                <c:pt idx="619">
                  <c:v>-14.828225912481726</c:v>
                </c:pt>
                <c:pt idx="620">
                  <c:v>-10.984711717886205</c:v>
                </c:pt>
                <c:pt idx="621">
                  <c:v>#N/A</c:v>
                </c:pt>
                <c:pt idx="622">
                  <c:v>#N/A</c:v>
                </c:pt>
                <c:pt idx="623">
                  <c:v>-12.148249611108</c:v>
                </c:pt>
                <c:pt idx="624">
                  <c:v>#N/A</c:v>
                </c:pt>
                <c:pt idx="625">
                  <c:v>-20.6827646118752</c:v>
                </c:pt>
                <c:pt idx="626">
                  <c:v>#N/A</c:v>
                </c:pt>
                <c:pt idx="627">
                  <c:v>#N/A</c:v>
                </c:pt>
                <c:pt idx="628">
                  <c:v>#N/A</c:v>
                </c:pt>
                <c:pt idx="629">
                  <c:v>-13.705923118317564</c:v>
                </c:pt>
                <c:pt idx="630">
                  <c:v>-9.6083789639254906</c:v>
                </c:pt>
                <c:pt idx="631">
                  <c:v>#N/A</c:v>
                </c:pt>
                <c:pt idx="632">
                  <c:v>-12.615995850407028</c:v>
                </c:pt>
                <c:pt idx="633">
                  <c:v>#N/A</c:v>
                </c:pt>
                <c:pt idx="634">
                  <c:v>-9.5096761211982219</c:v>
                </c:pt>
                <c:pt idx="635">
                  <c:v>-9.25463510567916</c:v>
                </c:pt>
                <c:pt idx="636">
                  <c:v>-12.040340148328649</c:v>
                </c:pt>
                <c:pt idx="637">
                  <c:v>-14.223551648827721</c:v>
                </c:pt>
                <c:pt idx="638">
                  <c:v>-13.759682340381314</c:v>
                </c:pt>
                <c:pt idx="639">
                  <c:v>#N/A</c:v>
                </c:pt>
                <c:pt idx="640">
                  <c:v>#N/A</c:v>
                </c:pt>
                <c:pt idx="641">
                  <c:v>#N/A</c:v>
                </c:pt>
                <c:pt idx="642">
                  <c:v>-16.947222187661964</c:v>
                </c:pt>
                <c:pt idx="643">
                  <c:v>-14.901004147719323</c:v>
                </c:pt>
                <c:pt idx="644">
                  <c:v>-14.228741790747929</c:v>
                </c:pt>
                <c:pt idx="645">
                  <c:v>-14.346622936528874</c:v>
                </c:pt>
                <c:pt idx="646">
                  <c:v>-15.309529384046844</c:v>
                </c:pt>
                <c:pt idx="647">
                  <c:v>#N/A</c:v>
                </c:pt>
                <c:pt idx="648">
                  <c:v>#N/A</c:v>
                </c:pt>
                <c:pt idx="649">
                  <c:v>-10.202451935495899</c:v>
                </c:pt>
                <c:pt idx="650">
                  <c:v>-14.098851680781983</c:v>
                </c:pt>
                <c:pt idx="651">
                  <c:v>-13.590152112223844</c:v>
                </c:pt>
                <c:pt idx="652">
                  <c:v>-16.448571883448007</c:v>
                </c:pt>
                <c:pt idx="653">
                  <c:v>-14.525357975874851</c:v>
                </c:pt>
                <c:pt idx="654">
                  <c:v>-22.386749705355584</c:v>
                </c:pt>
                <c:pt idx="655">
                  <c:v>#N/A</c:v>
                </c:pt>
                <c:pt idx="656">
                  <c:v>-9.6480780872930794</c:v>
                </c:pt>
                <c:pt idx="657">
                  <c:v>-9.949487362014132</c:v>
                </c:pt>
                <c:pt idx="658">
                  <c:v>-11.024059313907109</c:v>
                </c:pt>
                <c:pt idx="659">
                  <c:v>-13.583891029806434</c:v>
                </c:pt>
                <c:pt idx="660">
                  <c:v>-13.237112315232489</c:v>
                </c:pt>
                <c:pt idx="661">
                  <c:v>-7.0642927986484381</c:v>
                </c:pt>
                <c:pt idx="662">
                  <c:v>-17.712772387986192</c:v>
                </c:pt>
                <c:pt idx="663">
                  <c:v>#N/A</c:v>
                </c:pt>
                <c:pt idx="664">
                  <c:v>-12.881164973791391</c:v>
                </c:pt>
                <c:pt idx="665">
                  <c:v>-9.4363626475063089</c:v>
                </c:pt>
                <c:pt idx="666">
                  <c:v>-8.2196306941931017</c:v>
                </c:pt>
                <c:pt idx="667">
                  <c:v>-10.032917387573626</c:v>
                </c:pt>
                <c:pt idx="668">
                  <c:v>#N/A</c:v>
                </c:pt>
                <c:pt idx="669">
                  <c:v>-20.731790255442757</c:v>
                </c:pt>
                <c:pt idx="670">
                  <c:v>-14.130012235565182</c:v>
                </c:pt>
                <c:pt idx="671">
                  <c:v>-16.348576692240705</c:v>
                </c:pt>
                <c:pt idx="672">
                  <c:v>-15.208922522239344</c:v>
                </c:pt>
                <c:pt idx="673">
                  <c:v>-13.377987458910489</c:v>
                </c:pt>
                <c:pt idx="674">
                  <c:v>-15.781623851476162</c:v>
                </c:pt>
                <c:pt idx="675">
                  <c:v>#N/A</c:v>
                </c:pt>
                <c:pt idx="676">
                  <c:v>-16.693887921706839</c:v>
                </c:pt>
                <c:pt idx="677">
                  <c:v>-13.002418040048569</c:v>
                </c:pt>
                <c:pt idx="678">
                  <c:v>-19.575723419155139</c:v>
                </c:pt>
                <c:pt idx="679">
                  <c:v>-19.720335539347843</c:v>
                </c:pt>
                <c:pt idx="680">
                  <c:v>-7.0979643734615188</c:v>
                </c:pt>
                <c:pt idx="681">
                  <c:v>-13.944732926130705</c:v>
                </c:pt>
                <c:pt idx="682">
                  <c:v>#N/A</c:v>
                </c:pt>
                <c:pt idx="683">
                  <c:v>-7.9195082669517287</c:v>
                </c:pt>
                <c:pt idx="684">
                  <c:v>-11.569059823982794</c:v>
                </c:pt>
              </c:numCache>
            </c:numRef>
          </c:yVal>
          <c:smooth val="0"/>
          <c:extLst>
            <c:ext xmlns:c16="http://schemas.microsoft.com/office/drawing/2014/chart" uri="{C3380CC4-5D6E-409C-BE32-E72D297353CC}">
              <c16:uniqueId val="{00000000-F714-44D9-ABE5-5522D14FC289}"/>
            </c:ext>
          </c:extLst>
        </c:ser>
        <c:ser>
          <c:idx val="1"/>
          <c:order val="1"/>
          <c:tx>
            <c:v>Limit</c:v>
          </c:tx>
          <c:spPr>
            <a:ln w="38100" cap="rnd">
              <a:solidFill>
                <a:srgbClr val="FF0000"/>
              </a:solidFill>
              <a:prstDash val="dash"/>
              <a:round/>
            </a:ln>
            <a:effectLst/>
          </c:spPr>
          <c:marker>
            <c:symbol val="none"/>
          </c:marker>
          <c:xVal>
            <c:numRef>
              <c:f>Limits!$N$3:$N$4</c:f>
              <c:numCache>
                <c:formatCode>General</c:formatCode>
                <c:ptCount val="2"/>
                <c:pt idx="0">
                  <c:v>5.0000000000000001E-3</c:v>
                </c:pt>
                <c:pt idx="1">
                  <c:v>75</c:v>
                </c:pt>
              </c:numCache>
            </c:numRef>
          </c:xVal>
          <c:yVal>
            <c:numRef>
              <c:f>Limits!$O$3:$O$4</c:f>
              <c:numCache>
                <c:formatCode>General</c:formatCode>
                <c:ptCount val="2"/>
                <c:pt idx="0">
                  <c:v>-5.6289001589873546</c:v>
                </c:pt>
                <c:pt idx="1">
                  <c:v>8.2914040378649148</c:v>
                </c:pt>
              </c:numCache>
            </c:numRef>
          </c:yVal>
          <c:smooth val="0"/>
          <c:extLst>
            <c:ext xmlns:c16="http://schemas.microsoft.com/office/drawing/2014/chart" uri="{C3380CC4-5D6E-409C-BE32-E72D297353CC}">
              <c16:uniqueId val="{00000001-F714-44D9-ABE5-5522D14FC289}"/>
            </c:ext>
          </c:extLst>
        </c:ser>
        <c:dLbls>
          <c:showLegendKey val="0"/>
          <c:showVal val="0"/>
          <c:showCatName val="0"/>
          <c:showSerName val="0"/>
          <c:showPercent val="0"/>
          <c:showBubbleSize val="0"/>
        </c:dLbls>
        <c:axId val="392765040"/>
        <c:axId val="394338416"/>
      </c:scatterChart>
      <c:valAx>
        <c:axId val="392765040"/>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Bandwidth, GHz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338416"/>
        <c:crossesAt val="0"/>
        <c:crossBetween val="midCat"/>
      </c:valAx>
      <c:valAx>
        <c:axId val="394338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FOM^BW_D (dB)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2765040"/>
        <c:crossesAt val="1.0000000000000002E-3"/>
        <c:crossBetween val="midCat"/>
      </c:valAx>
      <c:spPr>
        <a:noFill/>
        <a:ln>
          <a:noFill/>
        </a:ln>
        <a:effectLst/>
      </c:spPr>
    </c:plotArea>
    <c:legend>
      <c:legendPos val="r"/>
      <c:layout>
        <c:manualLayout>
          <c:xMode val="edge"/>
          <c:yMode val="edge"/>
          <c:x val="0.69390804724970334"/>
          <c:y val="4.8195037893613124E-2"/>
          <c:w val="0.12738772105623497"/>
          <c:h val="6.8111729627763365E-2"/>
        </c:manualLayout>
      </c:layout>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CMOS!$X$1</c:f>
              <c:strCache>
                <c:ptCount val="1"/>
                <c:pt idx="0">
                  <c:v>FOM</c:v>
                </c:pt>
              </c:strCache>
            </c:strRef>
          </c:tx>
          <c:spPr>
            <a:ln w="19050" cap="rnd">
              <a:noFill/>
              <a:round/>
            </a:ln>
            <a:effectLst/>
          </c:spPr>
          <c:marker>
            <c:symbol val="circle"/>
            <c:size val="5"/>
            <c:spPr>
              <a:solidFill>
                <a:schemeClr val="accent1"/>
              </a:solidFill>
              <a:ln w="9525">
                <a:solidFill>
                  <a:schemeClr val="accent1"/>
                </a:solidFill>
              </a:ln>
              <a:effectLst/>
            </c:spPr>
          </c:marker>
          <c:xVal>
            <c:numRef>
              <c:f>CMOS!$G$3:$G$845</c:f>
              <c:numCache>
                <c:formatCode>General</c:formatCode>
                <c:ptCount val="843"/>
                <c:pt idx="0">
                  <c:v>0.9</c:v>
                </c:pt>
                <c:pt idx="1">
                  <c:v>5.25</c:v>
                </c:pt>
                <c:pt idx="2">
                  <c:v>5.25</c:v>
                </c:pt>
                <c:pt idx="3">
                  <c:v>0.9</c:v>
                </c:pt>
                <c:pt idx="4">
                  <c:v>5.2</c:v>
                </c:pt>
                <c:pt idx="5">
                  <c:v>5.2</c:v>
                </c:pt>
                <c:pt idx="6">
                  <c:v>2.14</c:v>
                </c:pt>
                <c:pt idx="7">
                  <c:v>2</c:v>
                </c:pt>
                <c:pt idx="8">
                  <c:v>5.8</c:v>
                </c:pt>
                <c:pt idx="9">
                  <c:v>5.5</c:v>
                </c:pt>
                <c:pt idx="10">
                  <c:v>5.5</c:v>
                </c:pt>
                <c:pt idx="11">
                  <c:v>10.35</c:v>
                </c:pt>
                <c:pt idx="12">
                  <c:v>0.9</c:v>
                </c:pt>
                <c:pt idx="13">
                  <c:v>5</c:v>
                </c:pt>
                <c:pt idx="14">
                  <c:v>5.8</c:v>
                </c:pt>
                <c:pt idx="15">
                  <c:v>2.4</c:v>
                </c:pt>
                <c:pt idx="16">
                  <c:v>2.4</c:v>
                </c:pt>
                <c:pt idx="17">
                  <c:v>2.75</c:v>
                </c:pt>
                <c:pt idx="18">
                  <c:v>6</c:v>
                </c:pt>
                <c:pt idx="19">
                  <c:v>4.5999999999999996</c:v>
                </c:pt>
                <c:pt idx="20">
                  <c:v>1.7</c:v>
                </c:pt>
                <c:pt idx="21">
                  <c:v>5.25</c:v>
                </c:pt>
                <c:pt idx="22">
                  <c:v>5.05</c:v>
                </c:pt>
                <c:pt idx="23">
                  <c:v>4.9000000000000004</c:v>
                </c:pt>
                <c:pt idx="24">
                  <c:v>58.5</c:v>
                </c:pt>
                <c:pt idx="25">
                  <c:v>2.15</c:v>
                </c:pt>
                <c:pt idx="26">
                  <c:v>5</c:v>
                </c:pt>
                <c:pt idx="27">
                  <c:v>5</c:v>
                </c:pt>
                <c:pt idx="28">
                  <c:v>40</c:v>
                </c:pt>
                <c:pt idx="29">
                  <c:v>25.5</c:v>
                </c:pt>
                <c:pt idx="30">
                  <c:v>15.25</c:v>
                </c:pt>
                <c:pt idx="31">
                  <c:v>0.52400000000000002</c:v>
                </c:pt>
                <c:pt idx="32">
                  <c:v>51.375</c:v>
                </c:pt>
                <c:pt idx="33">
                  <c:v>39</c:v>
                </c:pt>
                <c:pt idx="34">
                  <c:v>1.95</c:v>
                </c:pt>
                <c:pt idx="35">
                  <c:v>4</c:v>
                </c:pt>
                <c:pt idx="36">
                  <c:v>3.9</c:v>
                </c:pt>
                <c:pt idx="37">
                  <c:v>3.8</c:v>
                </c:pt>
                <c:pt idx="38">
                  <c:v>7.125</c:v>
                </c:pt>
                <c:pt idx="39">
                  <c:v>7.25</c:v>
                </c:pt>
                <c:pt idx="40">
                  <c:v>0.61</c:v>
                </c:pt>
                <c:pt idx="41">
                  <c:v>6.85</c:v>
                </c:pt>
                <c:pt idx="42">
                  <c:v>14.8</c:v>
                </c:pt>
                <c:pt idx="43">
                  <c:v>6.85</c:v>
                </c:pt>
                <c:pt idx="44">
                  <c:v>2.0499999999999998</c:v>
                </c:pt>
                <c:pt idx="45">
                  <c:v>4</c:v>
                </c:pt>
                <c:pt idx="46">
                  <c:v>0.9</c:v>
                </c:pt>
                <c:pt idx="47">
                  <c:v>0.375</c:v>
                </c:pt>
                <c:pt idx="48">
                  <c:v>5.8</c:v>
                </c:pt>
                <c:pt idx="49">
                  <c:v>5.8</c:v>
                </c:pt>
                <c:pt idx="50">
                  <c:v>5.8</c:v>
                </c:pt>
                <c:pt idx="51">
                  <c:v>5.8</c:v>
                </c:pt>
                <c:pt idx="52">
                  <c:v>6.4</c:v>
                </c:pt>
                <c:pt idx="53">
                  <c:v>2.4500000000000002</c:v>
                </c:pt>
                <c:pt idx="54">
                  <c:v>0.4</c:v>
                </c:pt>
                <c:pt idx="55">
                  <c:v>6.7</c:v>
                </c:pt>
                <c:pt idx="56">
                  <c:v>21.8</c:v>
                </c:pt>
                <c:pt idx="57">
                  <c:v>5.8</c:v>
                </c:pt>
                <c:pt idx="58">
                  <c:v>0.93500000000000005</c:v>
                </c:pt>
                <c:pt idx="59">
                  <c:v>24</c:v>
                </c:pt>
                <c:pt idx="60">
                  <c:v>24</c:v>
                </c:pt>
                <c:pt idx="61">
                  <c:v>24</c:v>
                </c:pt>
                <c:pt idx="62">
                  <c:v>53</c:v>
                </c:pt>
                <c:pt idx="63">
                  <c:v>38</c:v>
                </c:pt>
                <c:pt idx="64">
                  <c:v>60</c:v>
                </c:pt>
                <c:pt idx="65">
                  <c:v>59.75</c:v>
                </c:pt>
                <c:pt idx="66">
                  <c:v>59.75</c:v>
                </c:pt>
                <c:pt idx="67">
                  <c:v>60</c:v>
                </c:pt>
                <c:pt idx="68">
                  <c:v>0.66</c:v>
                </c:pt>
                <c:pt idx="69">
                  <c:v>60</c:v>
                </c:pt>
                <c:pt idx="70">
                  <c:v>61.5</c:v>
                </c:pt>
                <c:pt idx="71">
                  <c:v>1.05</c:v>
                </c:pt>
                <c:pt idx="72">
                  <c:v>0.61</c:v>
                </c:pt>
                <c:pt idx="73">
                  <c:v>54.5</c:v>
                </c:pt>
                <c:pt idx="74">
                  <c:v>56.25</c:v>
                </c:pt>
                <c:pt idx="75">
                  <c:v>36.5</c:v>
                </c:pt>
                <c:pt idx="76">
                  <c:v>58.5</c:v>
                </c:pt>
                <c:pt idx="77">
                  <c:v>57.75</c:v>
                </c:pt>
                <c:pt idx="78">
                  <c:v>2.8</c:v>
                </c:pt>
                <c:pt idx="79">
                  <c:v>3.3</c:v>
                </c:pt>
                <c:pt idx="80">
                  <c:v>4.5999999999999996</c:v>
                </c:pt>
                <c:pt idx="81">
                  <c:v>2.0499999999999998</c:v>
                </c:pt>
                <c:pt idx="82">
                  <c:v>5.65</c:v>
                </c:pt>
                <c:pt idx="83">
                  <c:v>5.9</c:v>
                </c:pt>
                <c:pt idx="84">
                  <c:v>60</c:v>
                </c:pt>
                <c:pt idx="85">
                  <c:v>5.95</c:v>
                </c:pt>
                <c:pt idx="86">
                  <c:v>5.95</c:v>
                </c:pt>
                <c:pt idx="87">
                  <c:v>16</c:v>
                </c:pt>
                <c:pt idx="88">
                  <c:v>3.75</c:v>
                </c:pt>
                <c:pt idx="89">
                  <c:v>4.5</c:v>
                </c:pt>
                <c:pt idx="90">
                  <c:v>7.2</c:v>
                </c:pt>
                <c:pt idx="91">
                  <c:v>0.52500000000000002</c:v>
                </c:pt>
                <c:pt idx="92">
                  <c:v>76</c:v>
                </c:pt>
                <c:pt idx="93">
                  <c:v>2.2749999999999999</c:v>
                </c:pt>
                <c:pt idx="94">
                  <c:v>23.75</c:v>
                </c:pt>
                <c:pt idx="95">
                  <c:v>0.83750000000000002</c:v>
                </c:pt>
                <c:pt idx="96">
                  <c:v>63.5</c:v>
                </c:pt>
                <c:pt idx="97">
                  <c:v>118</c:v>
                </c:pt>
                <c:pt idx="98">
                  <c:v>1.1499999999999999</c:v>
                </c:pt>
                <c:pt idx="99">
                  <c:v>53.5</c:v>
                </c:pt>
                <c:pt idx="100">
                  <c:v>54</c:v>
                </c:pt>
                <c:pt idx="101">
                  <c:v>1.5249999999999999</c:v>
                </c:pt>
                <c:pt idx="102">
                  <c:v>27.25</c:v>
                </c:pt>
                <c:pt idx="103">
                  <c:v>3</c:v>
                </c:pt>
                <c:pt idx="104">
                  <c:v>5</c:v>
                </c:pt>
                <c:pt idx="105">
                  <c:v>154.5</c:v>
                </c:pt>
                <c:pt idx="106">
                  <c:v>94.5</c:v>
                </c:pt>
                <c:pt idx="107">
                  <c:v>29</c:v>
                </c:pt>
                <c:pt idx="108">
                  <c:v>44</c:v>
                </c:pt>
                <c:pt idx="109">
                  <c:v>27.6</c:v>
                </c:pt>
                <c:pt idx="110">
                  <c:v>59.5</c:v>
                </c:pt>
                <c:pt idx="111">
                  <c:v>7</c:v>
                </c:pt>
                <c:pt idx="112">
                  <c:v>7.5</c:v>
                </c:pt>
                <c:pt idx="113">
                  <c:v>26.35</c:v>
                </c:pt>
                <c:pt idx="114">
                  <c:v>63</c:v>
                </c:pt>
                <c:pt idx="115">
                  <c:v>2.35</c:v>
                </c:pt>
                <c:pt idx="116">
                  <c:v>61.56</c:v>
                </c:pt>
                <c:pt idx="117">
                  <c:v>77</c:v>
                </c:pt>
                <c:pt idx="118">
                  <c:v>77</c:v>
                </c:pt>
                <c:pt idx="119">
                  <c:v>92</c:v>
                </c:pt>
                <c:pt idx="120">
                  <c:v>9.5</c:v>
                </c:pt>
                <c:pt idx="121">
                  <c:v>32</c:v>
                </c:pt>
                <c:pt idx="122">
                  <c:v>61</c:v>
                </c:pt>
                <c:pt idx="123">
                  <c:v>28.35</c:v>
                </c:pt>
                <c:pt idx="124">
                  <c:v>28.35</c:v>
                </c:pt>
                <c:pt idx="125">
                  <c:v>28.35</c:v>
                </c:pt>
                <c:pt idx="126">
                  <c:v>28.25</c:v>
                </c:pt>
                <c:pt idx="127">
                  <c:v>30</c:v>
                </c:pt>
                <c:pt idx="128">
                  <c:v>32.5</c:v>
                </c:pt>
                <c:pt idx="129">
                  <c:v>27.2</c:v>
                </c:pt>
                <c:pt idx="130">
                  <c:v>27.2</c:v>
                </c:pt>
                <c:pt idx="131">
                  <c:v>24.25</c:v>
                </c:pt>
                <c:pt idx="132">
                  <c:v>24.25</c:v>
                </c:pt>
                <c:pt idx="133">
                  <c:v>25</c:v>
                </c:pt>
                <c:pt idx="134">
                  <c:v>25</c:v>
                </c:pt>
                <c:pt idx="135">
                  <c:v>9.25</c:v>
                </c:pt>
                <c:pt idx="136">
                  <c:v>6.7</c:v>
                </c:pt>
                <c:pt idx="137">
                  <c:v>6</c:v>
                </c:pt>
                <c:pt idx="138">
                  <c:v>152.19999999999999</c:v>
                </c:pt>
                <c:pt idx="139">
                  <c:v>29.05</c:v>
                </c:pt>
                <c:pt idx="140">
                  <c:v>0.85</c:v>
                </c:pt>
                <c:pt idx="141">
                  <c:v>2</c:v>
                </c:pt>
                <c:pt idx="142">
                  <c:v>17.25</c:v>
                </c:pt>
                <c:pt idx="143">
                  <c:v>10.95</c:v>
                </c:pt>
                <c:pt idx="144">
                  <c:v>1.31</c:v>
                </c:pt>
                <c:pt idx="145">
                  <c:v>1.48</c:v>
                </c:pt>
                <c:pt idx="146">
                  <c:v>1.5249999999999999</c:v>
                </c:pt>
                <c:pt idx="147">
                  <c:v>1.8049999999999999</c:v>
                </c:pt>
                <c:pt idx="148">
                  <c:v>1.93</c:v>
                </c:pt>
                <c:pt idx="149">
                  <c:v>2.35</c:v>
                </c:pt>
                <c:pt idx="150">
                  <c:v>1.8</c:v>
                </c:pt>
                <c:pt idx="151">
                  <c:v>4</c:v>
                </c:pt>
                <c:pt idx="152">
                  <c:v>60</c:v>
                </c:pt>
                <c:pt idx="153">
                  <c:v>1.45</c:v>
                </c:pt>
                <c:pt idx="154">
                  <c:v>27</c:v>
                </c:pt>
                <c:pt idx="155">
                  <c:v>153.5</c:v>
                </c:pt>
                <c:pt idx="156">
                  <c:v>27.8</c:v>
                </c:pt>
                <c:pt idx="157">
                  <c:v>153</c:v>
                </c:pt>
                <c:pt idx="158">
                  <c:v>39</c:v>
                </c:pt>
                <c:pt idx="159">
                  <c:v>10.1</c:v>
                </c:pt>
                <c:pt idx="160">
                  <c:v>20.5</c:v>
                </c:pt>
                <c:pt idx="161">
                  <c:v>22.35</c:v>
                </c:pt>
                <c:pt idx="162">
                  <c:v>25.5</c:v>
                </c:pt>
                <c:pt idx="163">
                  <c:v>151.9</c:v>
                </c:pt>
                <c:pt idx="164">
                  <c:v>5</c:v>
                </c:pt>
                <c:pt idx="165">
                  <c:v>13</c:v>
                </c:pt>
                <c:pt idx="166">
                  <c:v>26.5</c:v>
                </c:pt>
                <c:pt idx="167">
                  <c:v>27.2</c:v>
                </c:pt>
                <c:pt idx="168">
                  <c:v>32</c:v>
                </c:pt>
                <c:pt idx="169">
                  <c:v>5.5</c:v>
                </c:pt>
                <c:pt idx="170">
                  <c:v>3.5</c:v>
                </c:pt>
                <c:pt idx="171">
                  <c:v>3.5</c:v>
                </c:pt>
                <c:pt idx="172">
                  <c:v>2.95</c:v>
                </c:pt>
                <c:pt idx="173">
                  <c:v>2.95</c:v>
                </c:pt>
                <c:pt idx="174">
                  <c:v>139.25</c:v>
                </c:pt>
                <c:pt idx="175">
                  <c:v>138.5</c:v>
                </c:pt>
                <c:pt idx="176">
                  <c:v>138.5</c:v>
                </c:pt>
                <c:pt idx="177">
                  <c:v>38.200000000000003</c:v>
                </c:pt>
                <c:pt idx="178">
                  <c:v>2.2000000000000002</c:v>
                </c:pt>
                <c:pt idx="179">
                  <c:v>8</c:v>
                </c:pt>
                <c:pt idx="180">
                  <c:v>31.75</c:v>
                </c:pt>
                <c:pt idx="181">
                  <c:v>2.0249999999999999</c:v>
                </c:pt>
                <c:pt idx="182">
                  <c:v>22.25</c:v>
                </c:pt>
                <c:pt idx="183">
                  <c:v>60.2</c:v>
                </c:pt>
                <c:pt idx="184">
                  <c:v>40.5</c:v>
                </c:pt>
                <c:pt idx="185">
                  <c:v>26.05</c:v>
                </c:pt>
                <c:pt idx="186">
                  <c:v>38.85</c:v>
                </c:pt>
                <c:pt idx="187">
                  <c:v>60</c:v>
                </c:pt>
                <c:pt idx="189">
                  <c:v>1.75</c:v>
                </c:pt>
                <c:pt idx="190">
                  <c:v>0.19400000000000001</c:v>
                </c:pt>
                <c:pt idx="191">
                  <c:v>0.9</c:v>
                </c:pt>
                <c:pt idx="192">
                  <c:v>1.9750000000000001</c:v>
                </c:pt>
                <c:pt idx="193">
                  <c:v>2.4</c:v>
                </c:pt>
                <c:pt idx="194">
                  <c:v>0.47499999999999998</c:v>
                </c:pt>
                <c:pt idx="195">
                  <c:v>0.9</c:v>
                </c:pt>
                <c:pt idx="196">
                  <c:v>0.9</c:v>
                </c:pt>
                <c:pt idx="197">
                  <c:v>0.9</c:v>
                </c:pt>
                <c:pt idx="198">
                  <c:v>1.2649999999999999</c:v>
                </c:pt>
                <c:pt idx="199">
                  <c:v>2.625</c:v>
                </c:pt>
                <c:pt idx="200">
                  <c:v>7</c:v>
                </c:pt>
                <c:pt idx="201">
                  <c:v>0.8</c:v>
                </c:pt>
                <c:pt idx="202">
                  <c:v>5.75</c:v>
                </c:pt>
                <c:pt idx="203">
                  <c:v>5.75</c:v>
                </c:pt>
                <c:pt idx="204">
                  <c:v>5.1849999999999996</c:v>
                </c:pt>
                <c:pt idx="205">
                  <c:v>2.15</c:v>
                </c:pt>
                <c:pt idx="206">
                  <c:v>2.15</c:v>
                </c:pt>
                <c:pt idx="207">
                  <c:v>0.8</c:v>
                </c:pt>
                <c:pt idx="208">
                  <c:v>34</c:v>
                </c:pt>
                <c:pt idx="209">
                  <c:v>5.75</c:v>
                </c:pt>
                <c:pt idx="210">
                  <c:v>5.95</c:v>
                </c:pt>
                <c:pt idx="211">
                  <c:v>3.3</c:v>
                </c:pt>
                <c:pt idx="212">
                  <c:v>5.5</c:v>
                </c:pt>
                <c:pt idx="213">
                  <c:v>5.5</c:v>
                </c:pt>
                <c:pt idx="214">
                  <c:v>5.5</c:v>
                </c:pt>
                <c:pt idx="215">
                  <c:v>1.9650000000000001</c:v>
                </c:pt>
                <c:pt idx="216">
                  <c:v>3.52</c:v>
                </c:pt>
                <c:pt idx="217">
                  <c:v>0.93</c:v>
                </c:pt>
                <c:pt idx="218">
                  <c:v>0.51500000000000001</c:v>
                </c:pt>
                <c:pt idx="219">
                  <c:v>6.55</c:v>
                </c:pt>
                <c:pt idx="220">
                  <c:v>6.85</c:v>
                </c:pt>
                <c:pt idx="221">
                  <c:v>6.85</c:v>
                </c:pt>
                <c:pt idx="222">
                  <c:v>2.25</c:v>
                </c:pt>
                <c:pt idx="223">
                  <c:v>58</c:v>
                </c:pt>
                <c:pt idx="224">
                  <c:v>1.1000000000000001</c:v>
                </c:pt>
                <c:pt idx="225">
                  <c:v>2</c:v>
                </c:pt>
                <c:pt idx="226">
                  <c:v>1.5195000000000001</c:v>
                </c:pt>
                <c:pt idx="227">
                  <c:v>2.1</c:v>
                </c:pt>
                <c:pt idx="228">
                  <c:v>2.2749999999999999</c:v>
                </c:pt>
                <c:pt idx="229">
                  <c:v>61.5</c:v>
                </c:pt>
                <c:pt idx="230">
                  <c:v>1.45</c:v>
                </c:pt>
                <c:pt idx="231">
                  <c:v>2.5499999999999998</c:v>
                </c:pt>
                <c:pt idx="232">
                  <c:v>5.5</c:v>
                </c:pt>
                <c:pt idx="233">
                  <c:v>2.7</c:v>
                </c:pt>
                <c:pt idx="234">
                  <c:v>64</c:v>
                </c:pt>
                <c:pt idx="235">
                  <c:v>82</c:v>
                </c:pt>
                <c:pt idx="236">
                  <c:v>3.25</c:v>
                </c:pt>
                <c:pt idx="237">
                  <c:v>3.25</c:v>
                </c:pt>
                <c:pt idx="238">
                  <c:v>3.4</c:v>
                </c:pt>
                <c:pt idx="239">
                  <c:v>2</c:v>
                </c:pt>
                <c:pt idx="240">
                  <c:v>5</c:v>
                </c:pt>
                <c:pt idx="241">
                  <c:v>5.3</c:v>
                </c:pt>
                <c:pt idx="242">
                  <c:v>7</c:v>
                </c:pt>
                <c:pt idx="243">
                  <c:v>4.5999999999999996</c:v>
                </c:pt>
                <c:pt idx="244">
                  <c:v>4.8</c:v>
                </c:pt>
                <c:pt idx="245">
                  <c:v>0.65500000000000003</c:v>
                </c:pt>
                <c:pt idx="246">
                  <c:v>0.72050000000000003</c:v>
                </c:pt>
                <c:pt idx="247">
                  <c:v>0.32400000000000001</c:v>
                </c:pt>
                <c:pt idx="248">
                  <c:v>2.4</c:v>
                </c:pt>
                <c:pt idx="249">
                  <c:v>2.4</c:v>
                </c:pt>
                <c:pt idx="250">
                  <c:v>27.5</c:v>
                </c:pt>
                <c:pt idx="251">
                  <c:v>0.62</c:v>
                </c:pt>
                <c:pt idx="252">
                  <c:v>60</c:v>
                </c:pt>
                <c:pt idx="253">
                  <c:v>87</c:v>
                </c:pt>
                <c:pt idx="254">
                  <c:v>77</c:v>
                </c:pt>
                <c:pt idx="255">
                  <c:v>1.151</c:v>
                </c:pt>
                <c:pt idx="256">
                  <c:v>0.91</c:v>
                </c:pt>
                <c:pt idx="257">
                  <c:v>81</c:v>
                </c:pt>
                <c:pt idx="258">
                  <c:v>62</c:v>
                </c:pt>
                <c:pt idx="259">
                  <c:v>60</c:v>
                </c:pt>
                <c:pt idx="260">
                  <c:v>0.105</c:v>
                </c:pt>
                <c:pt idx="261">
                  <c:v>1.4</c:v>
                </c:pt>
                <c:pt idx="262">
                  <c:v>5.05</c:v>
                </c:pt>
                <c:pt idx="263">
                  <c:v>2.625</c:v>
                </c:pt>
                <c:pt idx="264">
                  <c:v>2.65</c:v>
                </c:pt>
                <c:pt idx="265">
                  <c:v>211</c:v>
                </c:pt>
                <c:pt idx="266">
                  <c:v>1</c:v>
                </c:pt>
                <c:pt idx="267">
                  <c:v>2.2999999999999998</c:v>
                </c:pt>
                <c:pt idx="268">
                  <c:v>1.1000000000000001</c:v>
                </c:pt>
                <c:pt idx="269">
                  <c:v>0.9</c:v>
                </c:pt>
                <c:pt idx="270">
                  <c:v>2.4</c:v>
                </c:pt>
                <c:pt idx="271">
                  <c:v>1.85</c:v>
                </c:pt>
                <c:pt idx="272">
                  <c:v>80.849999999999994</c:v>
                </c:pt>
                <c:pt idx="273">
                  <c:v>80</c:v>
                </c:pt>
                <c:pt idx="274">
                  <c:v>77.5</c:v>
                </c:pt>
                <c:pt idx="275">
                  <c:v>77.25</c:v>
                </c:pt>
                <c:pt idx="276">
                  <c:v>1.05</c:v>
                </c:pt>
                <c:pt idx="277">
                  <c:v>82.25</c:v>
                </c:pt>
                <c:pt idx="278">
                  <c:v>4.4000000000000004</c:v>
                </c:pt>
                <c:pt idx="279">
                  <c:v>68.75</c:v>
                </c:pt>
                <c:pt idx="280">
                  <c:v>2.4</c:v>
                </c:pt>
                <c:pt idx="281">
                  <c:v>1.05</c:v>
                </c:pt>
                <c:pt idx="282">
                  <c:v>27</c:v>
                </c:pt>
                <c:pt idx="283">
                  <c:v>27</c:v>
                </c:pt>
                <c:pt idx="284">
                  <c:v>2.4</c:v>
                </c:pt>
                <c:pt idx="285">
                  <c:v>18.8</c:v>
                </c:pt>
                <c:pt idx="286">
                  <c:v>80.5</c:v>
                </c:pt>
                <c:pt idx="287">
                  <c:v>9.25</c:v>
                </c:pt>
                <c:pt idx="288">
                  <c:v>2.2599999999999998</c:v>
                </c:pt>
                <c:pt idx="289">
                  <c:v>125</c:v>
                </c:pt>
                <c:pt idx="290">
                  <c:v>19</c:v>
                </c:pt>
                <c:pt idx="291">
                  <c:v>30.55</c:v>
                </c:pt>
                <c:pt idx="292">
                  <c:v>138.5</c:v>
                </c:pt>
                <c:pt idx="293">
                  <c:v>62.65</c:v>
                </c:pt>
                <c:pt idx="294">
                  <c:v>78</c:v>
                </c:pt>
                <c:pt idx="295">
                  <c:v>28.65</c:v>
                </c:pt>
                <c:pt idx="296">
                  <c:v>37.9</c:v>
                </c:pt>
                <c:pt idx="297">
                  <c:v>11</c:v>
                </c:pt>
                <c:pt idx="298">
                  <c:v>7.1</c:v>
                </c:pt>
                <c:pt idx="299">
                  <c:v>7.35</c:v>
                </c:pt>
                <c:pt idx="300">
                  <c:v>10.65</c:v>
                </c:pt>
                <c:pt idx="301">
                  <c:v>14.75</c:v>
                </c:pt>
                <c:pt idx="302">
                  <c:v>13.4</c:v>
                </c:pt>
                <c:pt idx="303">
                  <c:v>7.75</c:v>
                </c:pt>
                <c:pt idx="304">
                  <c:v>10.8</c:v>
                </c:pt>
                <c:pt idx="305">
                  <c:v>14.05</c:v>
                </c:pt>
                <c:pt idx="306">
                  <c:v>11.65</c:v>
                </c:pt>
                <c:pt idx="307">
                  <c:v>11.05</c:v>
                </c:pt>
                <c:pt idx="308">
                  <c:v>11</c:v>
                </c:pt>
                <c:pt idx="309">
                  <c:v>134.5</c:v>
                </c:pt>
                <c:pt idx="310">
                  <c:v>113</c:v>
                </c:pt>
                <c:pt idx="314">
                  <c:v>0.9</c:v>
                </c:pt>
                <c:pt idx="315">
                  <c:v>0.9</c:v>
                </c:pt>
                <c:pt idx="316">
                  <c:v>0.9</c:v>
                </c:pt>
                <c:pt idx="317">
                  <c:v>1.75</c:v>
                </c:pt>
                <c:pt idx="318">
                  <c:v>1.85</c:v>
                </c:pt>
                <c:pt idx="319">
                  <c:v>0.9</c:v>
                </c:pt>
                <c:pt idx="320">
                  <c:v>0.9</c:v>
                </c:pt>
                <c:pt idx="321">
                  <c:v>1.57</c:v>
                </c:pt>
                <c:pt idx="322">
                  <c:v>2.2000000000000002</c:v>
                </c:pt>
                <c:pt idx="323">
                  <c:v>5.75</c:v>
                </c:pt>
                <c:pt idx="324">
                  <c:v>5.95</c:v>
                </c:pt>
                <c:pt idx="325">
                  <c:v>5.9</c:v>
                </c:pt>
                <c:pt idx="326">
                  <c:v>4</c:v>
                </c:pt>
                <c:pt idx="327">
                  <c:v>4.3499999999999996</c:v>
                </c:pt>
                <c:pt idx="328">
                  <c:v>55.5</c:v>
                </c:pt>
                <c:pt idx="329">
                  <c:v>3.25</c:v>
                </c:pt>
                <c:pt idx="330">
                  <c:v>3.5</c:v>
                </c:pt>
                <c:pt idx="331">
                  <c:v>3</c:v>
                </c:pt>
                <c:pt idx="332">
                  <c:v>3</c:v>
                </c:pt>
                <c:pt idx="333">
                  <c:v>5</c:v>
                </c:pt>
                <c:pt idx="334">
                  <c:v>58</c:v>
                </c:pt>
                <c:pt idx="335">
                  <c:v>18.86</c:v>
                </c:pt>
                <c:pt idx="336">
                  <c:v>59.65</c:v>
                </c:pt>
                <c:pt idx="337">
                  <c:v>0.61</c:v>
                </c:pt>
                <c:pt idx="338">
                  <c:v>2.625</c:v>
                </c:pt>
                <c:pt idx="339">
                  <c:v>202.5</c:v>
                </c:pt>
                <c:pt idx="340">
                  <c:v>0.45900000000000002</c:v>
                </c:pt>
                <c:pt idx="341">
                  <c:v>82.25</c:v>
                </c:pt>
                <c:pt idx="342">
                  <c:v>81</c:v>
                </c:pt>
                <c:pt idx="343">
                  <c:v>5.5</c:v>
                </c:pt>
                <c:pt idx="344">
                  <c:v>80.5</c:v>
                </c:pt>
                <c:pt idx="345">
                  <c:v>1.625</c:v>
                </c:pt>
                <c:pt idx="346">
                  <c:v>32.5</c:v>
                </c:pt>
                <c:pt idx="347">
                  <c:v>78</c:v>
                </c:pt>
                <c:pt idx="348">
                  <c:v>27.2</c:v>
                </c:pt>
                <c:pt idx="351">
                  <c:v>59</c:v>
                </c:pt>
                <c:pt idx="352">
                  <c:v>2</c:v>
                </c:pt>
                <c:pt idx="353">
                  <c:v>5.2</c:v>
                </c:pt>
                <c:pt idx="354">
                  <c:v>13.1</c:v>
                </c:pt>
                <c:pt idx="355">
                  <c:v>140</c:v>
                </c:pt>
                <c:pt idx="356">
                  <c:v>24.4</c:v>
                </c:pt>
                <c:pt idx="357">
                  <c:v>8.5</c:v>
                </c:pt>
                <c:pt idx="358">
                  <c:v>3.5</c:v>
                </c:pt>
                <c:pt idx="359">
                  <c:v>6.7</c:v>
                </c:pt>
                <c:pt idx="360">
                  <c:v>5.6</c:v>
                </c:pt>
                <c:pt idx="361">
                  <c:v>3.05</c:v>
                </c:pt>
                <c:pt idx="362">
                  <c:v>11</c:v>
                </c:pt>
                <c:pt idx="363">
                  <c:v>1.6850000000000001</c:v>
                </c:pt>
                <c:pt idx="364">
                  <c:v>23.95</c:v>
                </c:pt>
                <c:pt idx="365">
                  <c:v>0.45400000000000001</c:v>
                </c:pt>
                <c:pt idx="366">
                  <c:v>4.1500000000000004</c:v>
                </c:pt>
                <c:pt idx="367">
                  <c:v>3.65</c:v>
                </c:pt>
                <c:pt idx="368">
                  <c:v>16.5</c:v>
                </c:pt>
                <c:pt idx="369">
                  <c:v>10.5</c:v>
                </c:pt>
                <c:pt idx="370">
                  <c:v>0.55100000000000005</c:v>
                </c:pt>
                <c:pt idx="371">
                  <c:v>3</c:v>
                </c:pt>
                <c:pt idx="372">
                  <c:v>3.5</c:v>
                </c:pt>
                <c:pt idx="373">
                  <c:v>2.5</c:v>
                </c:pt>
                <c:pt idx="374">
                  <c:v>2.5</c:v>
                </c:pt>
                <c:pt idx="375">
                  <c:v>0.92500000000000004</c:v>
                </c:pt>
                <c:pt idx="376">
                  <c:v>2.25</c:v>
                </c:pt>
                <c:pt idx="377">
                  <c:v>2.125</c:v>
                </c:pt>
                <c:pt idx="378">
                  <c:v>2.125</c:v>
                </c:pt>
                <c:pt idx="379">
                  <c:v>2.125</c:v>
                </c:pt>
                <c:pt idx="380">
                  <c:v>2.125</c:v>
                </c:pt>
                <c:pt idx="381">
                  <c:v>1.4</c:v>
                </c:pt>
                <c:pt idx="382">
                  <c:v>4.5</c:v>
                </c:pt>
                <c:pt idx="383">
                  <c:v>60</c:v>
                </c:pt>
                <c:pt idx="384">
                  <c:v>60</c:v>
                </c:pt>
                <c:pt idx="385">
                  <c:v>3.9</c:v>
                </c:pt>
                <c:pt idx="386">
                  <c:v>1.1020000000000001</c:v>
                </c:pt>
                <c:pt idx="387">
                  <c:v>1</c:v>
                </c:pt>
                <c:pt idx="388">
                  <c:v>61.5</c:v>
                </c:pt>
                <c:pt idx="389">
                  <c:v>2.8</c:v>
                </c:pt>
                <c:pt idx="390">
                  <c:v>3.3</c:v>
                </c:pt>
                <c:pt idx="391">
                  <c:v>4.5999999999999996</c:v>
                </c:pt>
                <c:pt idx="392">
                  <c:v>2.0499999999999998</c:v>
                </c:pt>
                <c:pt idx="393">
                  <c:v>5.65</c:v>
                </c:pt>
                <c:pt idx="394">
                  <c:v>7.55</c:v>
                </c:pt>
                <c:pt idx="395">
                  <c:v>4.95</c:v>
                </c:pt>
                <c:pt idx="396">
                  <c:v>4.95</c:v>
                </c:pt>
                <c:pt idx="397">
                  <c:v>4.95</c:v>
                </c:pt>
                <c:pt idx="398">
                  <c:v>4.95</c:v>
                </c:pt>
                <c:pt idx="399">
                  <c:v>4.95</c:v>
                </c:pt>
                <c:pt idx="400">
                  <c:v>4.75</c:v>
                </c:pt>
                <c:pt idx="401">
                  <c:v>0.60599999999999998</c:v>
                </c:pt>
                <c:pt idx="402">
                  <c:v>5.55</c:v>
                </c:pt>
                <c:pt idx="403">
                  <c:v>53.5</c:v>
                </c:pt>
                <c:pt idx="404">
                  <c:v>1.05</c:v>
                </c:pt>
                <c:pt idx="405">
                  <c:v>57.75</c:v>
                </c:pt>
                <c:pt idx="406">
                  <c:v>2.35</c:v>
                </c:pt>
                <c:pt idx="407">
                  <c:v>2.4</c:v>
                </c:pt>
                <c:pt idx="408">
                  <c:v>77</c:v>
                </c:pt>
                <c:pt idx="409">
                  <c:v>93.75</c:v>
                </c:pt>
                <c:pt idx="410">
                  <c:v>70.5</c:v>
                </c:pt>
                <c:pt idx="411">
                  <c:v>28.7</c:v>
                </c:pt>
                <c:pt idx="412">
                  <c:v>26.5</c:v>
                </c:pt>
                <c:pt idx="413">
                  <c:v>31.5</c:v>
                </c:pt>
                <c:pt idx="414">
                  <c:v>27</c:v>
                </c:pt>
                <c:pt idx="415">
                  <c:v>27</c:v>
                </c:pt>
                <c:pt idx="416">
                  <c:v>30</c:v>
                </c:pt>
                <c:pt idx="417">
                  <c:v>30</c:v>
                </c:pt>
                <c:pt idx="418">
                  <c:v>57</c:v>
                </c:pt>
                <c:pt idx="419">
                  <c:v>57</c:v>
                </c:pt>
                <c:pt idx="420">
                  <c:v>28</c:v>
                </c:pt>
                <c:pt idx="421">
                  <c:v>19</c:v>
                </c:pt>
                <c:pt idx="422">
                  <c:v>19</c:v>
                </c:pt>
                <c:pt idx="423">
                  <c:v>5.5</c:v>
                </c:pt>
                <c:pt idx="424">
                  <c:v>5.5</c:v>
                </c:pt>
                <c:pt idx="425">
                  <c:v>5.5</c:v>
                </c:pt>
                <c:pt idx="426">
                  <c:v>3.5</c:v>
                </c:pt>
                <c:pt idx="427">
                  <c:v>136.5</c:v>
                </c:pt>
                <c:pt idx="428">
                  <c:v>29</c:v>
                </c:pt>
                <c:pt idx="429">
                  <c:v>38</c:v>
                </c:pt>
                <c:pt idx="430">
                  <c:v>32.6</c:v>
                </c:pt>
                <c:pt idx="431">
                  <c:v>27.5</c:v>
                </c:pt>
                <c:pt idx="432">
                  <c:v>2.4500000000000002</c:v>
                </c:pt>
                <c:pt idx="433">
                  <c:v>9</c:v>
                </c:pt>
                <c:pt idx="434">
                  <c:v>22.35</c:v>
                </c:pt>
                <c:pt idx="435">
                  <c:v>27.8</c:v>
                </c:pt>
                <c:pt idx="436">
                  <c:v>27.4</c:v>
                </c:pt>
                <c:pt idx="437">
                  <c:v>12</c:v>
                </c:pt>
                <c:pt idx="438">
                  <c:v>20</c:v>
                </c:pt>
                <c:pt idx="439">
                  <c:v>78.5</c:v>
                </c:pt>
                <c:pt idx="440">
                  <c:v>38.75</c:v>
                </c:pt>
                <c:pt idx="441">
                  <c:v>27.5</c:v>
                </c:pt>
                <c:pt idx="442">
                  <c:v>27.5</c:v>
                </c:pt>
                <c:pt idx="443">
                  <c:v>27.9</c:v>
                </c:pt>
                <c:pt idx="444">
                  <c:v>24</c:v>
                </c:pt>
                <c:pt idx="445">
                  <c:v>30.25</c:v>
                </c:pt>
                <c:pt idx="446">
                  <c:v>32.5</c:v>
                </c:pt>
                <c:pt idx="447">
                  <c:v>139.25</c:v>
                </c:pt>
                <c:pt idx="448">
                  <c:v>196</c:v>
                </c:pt>
                <c:pt idx="449">
                  <c:v>32</c:v>
                </c:pt>
                <c:pt idx="450">
                  <c:v>26.05</c:v>
                </c:pt>
                <c:pt idx="451">
                  <c:v>38.85</c:v>
                </c:pt>
                <c:pt idx="452">
                  <c:v>31.5</c:v>
                </c:pt>
                <c:pt idx="453">
                  <c:v>5.35</c:v>
                </c:pt>
                <c:pt idx="454">
                  <c:v>3.1</c:v>
                </c:pt>
                <c:pt idx="455">
                  <c:v>26.05</c:v>
                </c:pt>
                <c:pt idx="456">
                  <c:v>36.950000000000003</c:v>
                </c:pt>
                <c:pt idx="457">
                  <c:v>67.5</c:v>
                </c:pt>
                <c:pt idx="460">
                  <c:v>2.1</c:v>
                </c:pt>
                <c:pt idx="461">
                  <c:v>0.435</c:v>
                </c:pt>
                <c:pt idx="462">
                  <c:v>5</c:v>
                </c:pt>
                <c:pt idx="463">
                  <c:v>6</c:v>
                </c:pt>
                <c:pt idx="464">
                  <c:v>13.1</c:v>
                </c:pt>
                <c:pt idx="465">
                  <c:v>0.30499999999999999</c:v>
                </c:pt>
                <c:pt idx="466">
                  <c:v>2.625</c:v>
                </c:pt>
                <c:pt idx="467">
                  <c:v>5.8</c:v>
                </c:pt>
                <c:pt idx="468">
                  <c:v>38</c:v>
                </c:pt>
                <c:pt idx="469">
                  <c:v>6.5</c:v>
                </c:pt>
                <c:pt idx="470">
                  <c:v>71.5</c:v>
                </c:pt>
                <c:pt idx="471">
                  <c:v>57.9</c:v>
                </c:pt>
                <c:pt idx="472">
                  <c:v>57.75</c:v>
                </c:pt>
                <c:pt idx="473">
                  <c:v>5.8</c:v>
                </c:pt>
                <c:pt idx="474">
                  <c:v>24.5</c:v>
                </c:pt>
                <c:pt idx="475">
                  <c:v>23.45</c:v>
                </c:pt>
                <c:pt idx="476">
                  <c:v>36.75</c:v>
                </c:pt>
                <c:pt idx="477">
                  <c:v>36.5</c:v>
                </c:pt>
                <c:pt idx="478">
                  <c:v>39.65</c:v>
                </c:pt>
                <c:pt idx="479">
                  <c:v>60</c:v>
                </c:pt>
                <c:pt idx="480">
                  <c:v>98</c:v>
                </c:pt>
                <c:pt idx="481">
                  <c:v>58</c:v>
                </c:pt>
                <c:pt idx="482">
                  <c:v>27</c:v>
                </c:pt>
                <c:pt idx="483">
                  <c:v>4.7750000000000004</c:v>
                </c:pt>
                <c:pt idx="484">
                  <c:v>61.5</c:v>
                </c:pt>
                <c:pt idx="485">
                  <c:v>2.5</c:v>
                </c:pt>
                <c:pt idx="486">
                  <c:v>5</c:v>
                </c:pt>
                <c:pt idx="487">
                  <c:v>2.65</c:v>
                </c:pt>
                <c:pt idx="488">
                  <c:v>6.85</c:v>
                </c:pt>
                <c:pt idx="489">
                  <c:v>4.99</c:v>
                </c:pt>
                <c:pt idx="490">
                  <c:v>26.5</c:v>
                </c:pt>
                <c:pt idx="491">
                  <c:v>19.399999999999999</c:v>
                </c:pt>
                <c:pt idx="492">
                  <c:v>24</c:v>
                </c:pt>
                <c:pt idx="493">
                  <c:v>24</c:v>
                </c:pt>
                <c:pt idx="494">
                  <c:v>141.25</c:v>
                </c:pt>
                <c:pt idx="495">
                  <c:v>9.25</c:v>
                </c:pt>
                <c:pt idx="496">
                  <c:v>27.9</c:v>
                </c:pt>
                <c:pt idx="497">
                  <c:v>24</c:v>
                </c:pt>
                <c:pt idx="498">
                  <c:v>33</c:v>
                </c:pt>
                <c:pt idx="499">
                  <c:v>50</c:v>
                </c:pt>
                <c:pt idx="500">
                  <c:v>76.25</c:v>
                </c:pt>
                <c:pt idx="501">
                  <c:v>36.049999999999997</c:v>
                </c:pt>
                <c:pt idx="502">
                  <c:v>10.95</c:v>
                </c:pt>
                <c:pt idx="503">
                  <c:v>28.25</c:v>
                </c:pt>
                <c:pt idx="504">
                  <c:v>37.200000000000003</c:v>
                </c:pt>
                <c:pt idx="505">
                  <c:v>41</c:v>
                </c:pt>
                <c:pt idx="506">
                  <c:v>40</c:v>
                </c:pt>
                <c:pt idx="507">
                  <c:v>7.7</c:v>
                </c:pt>
                <c:pt idx="508">
                  <c:v>30.1</c:v>
                </c:pt>
                <c:pt idx="509">
                  <c:v>30.1</c:v>
                </c:pt>
                <c:pt idx="510">
                  <c:v>152</c:v>
                </c:pt>
                <c:pt idx="511">
                  <c:v>127.7</c:v>
                </c:pt>
                <c:pt idx="512">
                  <c:v>81.8</c:v>
                </c:pt>
                <c:pt idx="516">
                  <c:v>19.399999999999999</c:v>
                </c:pt>
                <c:pt idx="517">
                  <c:v>11.7</c:v>
                </c:pt>
                <c:pt idx="518">
                  <c:v>38.5</c:v>
                </c:pt>
                <c:pt idx="519">
                  <c:v>110</c:v>
                </c:pt>
                <c:pt idx="520">
                  <c:v>84.5</c:v>
                </c:pt>
                <c:pt idx="521">
                  <c:v>11.7</c:v>
                </c:pt>
                <c:pt idx="522">
                  <c:v>30.25</c:v>
                </c:pt>
                <c:pt idx="523">
                  <c:v>220</c:v>
                </c:pt>
                <c:pt idx="524">
                  <c:v>39</c:v>
                </c:pt>
                <c:pt idx="525">
                  <c:v>8.1</c:v>
                </c:pt>
                <c:pt idx="526">
                  <c:v>10.1</c:v>
                </c:pt>
                <c:pt idx="527">
                  <c:v>11.05</c:v>
                </c:pt>
                <c:pt idx="528">
                  <c:v>60.45</c:v>
                </c:pt>
                <c:pt idx="529">
                  <c:v>8</c:v>
                </c:pt>
                <c:pt idx="530">
                  <c:v>26.75</c:v>
                </c:pt>
                <c:pt idx="531">
                  <c:v>88</c:v>
                </c:pt>
                <c:pt idx="534">
                  <c:v>5.7750000000000004</c:v>
                </c:pt>
                <c:pt idx="535">
                  <c:v>23.25</c:v>
                </c:pt>
                <c:pt idx="536">
                  <c:v>25.25</c:v>
                </c:pt>
                <c:pt idx="537">
                  <c:v>0.95</c:v>
                </c:pt>
                <c:pt idx="538">
                  <c:v>24.25</c:v>
                </c:pt>
                <c:pt idx="539">
                  <c:v>20.75</c:v>
                </c:pt>
                <c:pt idx="540">
                  <c:v>2.4</c:v>
                </c:pt>
                <c:pt idx="541">
                  <c:v>5.2</c:v>
                </c:pt>
                <c:pt idx="542">
                  <c:v>3.15</c:v>
                </c:pt>
                <c:pt idx="543">
                  <c:v>5.75</c:v>
                </c:pt>
                <c:pt idx="544">
                  <c:v>2</c:v>
                </c:pt>
                <c:pt idx="545">
                  <c:v>40.5</c:v>
                </c:pt>
                <c:pt idx="546">
                  <c:v>2.4</c:v>
                </c:pt>
                <c:pt idx="547">
                  <c:v>2.4</c:v>
                </c:pt>
                <c:pt idx="548">
                  <c:v>5.9</c:v>
                </c:pt>
                <c:pt idx="549">
                  <c:v>5.9</c:v>
                </c:pt>
                <c:pt idx="550">
                  <c:v>5.0999999999999996</c:v>
                </c:pt>
                <c:pt idx="551">
                  <c:v>6.75</c:v>
                </c:pt>
                <c:pt idx="552">
                  <c:v>6.95</c:v>
                </c:pt>
                <c:pt idx="553">
                  <c:v>15.2</c:v>
                </c:pt>
                <c:pt idx="554">
                  <c:v>11</c:v>
                </c:pt>
                <c:pt idx="555">
                  <c:v>11</c:v>
                </c:pt>
                <c:pt idx="556">
                  <c:v>0.59750000000000003</c:v>
                </c:pt>
                <c:pt idx="557">
                  <c:v>1.9</c:v>
                </c:pt>
                <c:pt idx="558">
                  <c:v>2.2000000000000002</c:v>
                </c:pt>
                <c:pt idx="559">
                  <c:v>4.05</c:v>
                </c:pt>
                <c:pt idx="560">
                  <c:v>6.85</c:v>
                </c:pt>
                <c:pt idx="561">
                  <c:v>22.05</c:v>
                </c:pt>
                <c:pt idx="562">
                  <c:v>4.8499999999999996</c:v>
                </c:pt>
                <c:pt idx="563">
                  <c:v>5.375</c:v>
                </c:pt>
                <c:pt idx="564">
                  <c:v>10.050000000000001</c:v>
                </c:pt>
                <c:pt idx="565">
                  <c:v>23.2</c:v>
                </c:pt>
                <c:pt idx="566">
                  <c:v>0.57499999999999996</c:v>
                </c:pt>
                <c:pt idx="567">
                  <c:v>5.2</c:v>
                </c:pt>
                <c:pt idx="568">
                  <c:v>6.6749999999999998</c:v>
                </c:pt>
                <c:pt idx="569">
                  <c:v>4.4000000000000004</c:v>
                </c:pt>
                <c:pt idx="570">
                  <c:v>6.85</c:v>
                </c:pt>
                <c:pt idx="571">
                  <c:v>4.75</c:v>
                </c:pt>
                <c:pt idx="572">
                  <c:v>5.75</c:v>
                </c:pt>
                <c:pt idx="573">
                  <c:v>4.05</c:v>
                </c:pt>
                <c:pt idx="574">
                  <c:v>6</c:v>
                </c:pt>
                <c:pt idx="575">
                  <c:v>20.399999999999999</c:v>
                </c:pt>
                <c:pt idx="576">
                  <c:v>1.9750000000000001</c:v>
                </c:pt>
                <c:pt idx="577">
                  <c:v>1.8</c:v>
                </c:pt>
                <c:pt idx="578">
                  <c:v>0.46100000000000002</c:v>
                </c:pt>
                <c:pt idx="579">
                  <c:v>24.05</c:v>
                </c:pt>
                <c:pt idx="580">
                  <c:v>53.55</c:v>
                </c:pt>
                <c:pt idx="581">
                  <c:v>63</c:v>
                </c:pt>
                <c:pt idx="582">
                  <c:v>24</c:v>
                </c:pt>
                <c:pt idx="583">
                  <c:v>0.9</c:v>
                </c:pt>
                <c:pt idx="584">
                  <c:v>62</c:v>
                </c:pt>
                <c:pt idx="585">
                  <c:v>1.1499999999999999</c:v>
                </c:pt>
                <c:pt idx="586">
                  <c:v>58.2</c:v>
                </c:pt>
                <c:pt idx="587">
                  <c:v>5</c:v>
                </c:pt>
                <c:pt idx="588">
                  <c:v>5</c:v>
                </c:pt>
                <c:pt idx="589">
                  <c:v>1.4</c:v>
                </c:pt>
                <c:pt idx="590">
                  <c:v>21</c:v>
                </c:pt>
                <c:pt idx="591">
                  <c:v>1.405</c:v>
                </c:pt>
                <c:pt idx="592">
                  <c:v>5.65</c:v>
                </c:pt>
                <c:pt idx="593">
                  <c:v>20.55</c:v>
                </c:pt>
                <c:pt idx="594">
                  <c:v>6.75</c:v>
                </c:pt>
                <c:pt idx="595">
                  <c:v>2.4500000000000002</c:v>
                </c:pt>
                <c:pt idx="596">
                  <c:v>4.625</c:v>
                </c:pt>
                <c:pt idx="597">
                  <c:v>4.875</c:v>
                </c:pt>
                <c:pt idx="598">
                  <c:v>0.7</c:v>
                </c:pt>
                <c:pt idx="599">
                  <c:v>4.5999999999999996</c:v>
                </c:pt>
                <c:pt idx="600">
                  <c:v>4.5999999999999996</c:v>
                </c:pt>
                <c:pt idx="601">
                  <c:v>1.3</c:v>
                </c:pt>
                <c:pt idx="602">
                  <c:v>91</c:v>
                </c:pt>
                <c:pt idx="603">
                  <c:v>0.625</c:v>
                </c:pt>
                <c:pt idx="604">
                  <c:v>1.3</c:v>
                </c:pt>
                <c:pt idx="605">
                  <c:v>95.7</c:v>
                </c:pt>
                <c:pt idx="606">
                  <c:v>82.5</c:v>
                </c:pt>
                <c:pt idx="607">
                  <c:v>79.5</c:v>
                </c:pt>
                <c:pt idx="608">
                  <c:v>64.95</c:v>
                </c:pt>
                <c:pt idx="609">
                  <c:v>1.7</c:v>
                </c:pt>
                <c:pt idx="610">
                  <c:v>0.7</c:v>
                </c:pt>
                <c:pt idx="611">
                  <c:v>63</c:v>
                </c:pt>
                <c:pt idx="612">
                  <c:v>7.5</c:v>
                </c:pt>
                <c:pt idx="613">
                  <c:v>18.3</c:v>
                </c:pt>
                <c:pt idx="614">
                  <c:v>23.7</c:v>
                </c:pt>
                <c:pt idx="615">
                  <c:v>31.1</c:v>
                </c:pt>
                <c:pt idx="616">
                  <c:v>59.5</c:v>
                </c:pt>
                <c:pt idx="617">
                  <c:v>23.5</c:v>
                </c:pt>
                <c:pt idx="618">
                  <c:v>75</c:v>
                </c:pt>
                <c:pt idx="619">
                  <c:v>22.6</c:v>
                </c:pt>
                <c:pt idx="620">
                  <c:v>54</c:v>
                </c:pt>
                <c:pt idx="621">
                  <c:v>54</c:v>
                </c:pt>
                <c:pt idx="622">
                  <c:v>10.7</c:v>
                </c:pt>
                <c:pt idx="623">
                  <c:v>0.55000000000000004</c:v>
                </c:pt>
                <c:pt idx="624">
                  <c:v>86</c:v>
                </c:pt>
                <c:pt idx="625">
                  <c:v>36.5</c:v>
                </c:pt>
                <c:pt idx="626">
                  <c:v>5.75</c:v>
                </c:pt>
                <c:pt idx="627">
                  <c:v>5.7</c:v>
                </c:pt>
                <c:pt idx="628">
                  <c:v>58.95</c:v>
                </c:pt>
                <c:pt idx="629">
                  <c:v>11</c:v>
                </c:pt>
                <c:pt idx="630">
                  <c:v>2.4</c:v>
                </c:pt>
                <c:pt idx="631">
                  <c:v>58.5</c:v>
                </c:pt>
                <c:pt idx="632">
                  <c:v>25.25</c:v>
                </c:pt>
                <c:pt idx="633">
                  <c:v>28</c:v>
                </c:pt>
                <c:pt idx="634">
                  <c:v>31</c:v>
                </c:pt>
                <c:pt idx="635">
                  <c:v>80.55</c:v>
                </c:pt>
                <c:pt idx="636">
                  <c:v>72.900000000000006</c:v>
                </c:pt>
                <c:pt idx="637">
                  <c:v>31.2</c:v>
                </c:pt>
                <c:pt idx="638">
                  <c:v>27.75</c:v>
                </c:pt>
                <c:pt idx="639">
                  <c:v>28.5</c:v>
                </c:pt>
                <c:pt idx="640">
                  <c:v>84.55</c:v>
                </c:pt>
                <c:pt idx="641">
                  <c:v>0.42499999999999999</c:v>
                </c:pt>
                <c:pt idx="642">
                  <c:v>28</c:v>
                </c:pt>
                <c:pt idx="643">
                  <c:v>39</c:v>
                </c:pt>
                <c:pt idx="644">
                  <c:v>28</c:v>
                </c:pt>
                <c:pt idx="645">
                  <c:v>38.5</c:v>
                </c:pt>
                <c:pt idx="646">
                  <c:v>38.5</c:v>
                </c:pt>
                <c:pt idx="647">
                  <c:v>0.433</c:v>
                </c:pt>
                <c:pt idx="648">
                  <c:v>28.5</c:v>
                </c:pt>
                <c:pt idx="649">
                  <c:v>28.5</c:v>
                </c:pt>
                <c:pt idx="650">
                  <c:v>38</c:v>
                </c:pt>
                <c:pt idx="651">
                  <c:v>24.5</c:v>
                </c:pt>
                <c:pt idx="652">
                  <c:v>15.2</c:v>
                </c:pt>
                <c:pt idx="653">
                  <c:v>15.05</c:v>
                </c:pt>
                <c:pt idx="654">
                  <c:v>5.8</c:v>
                </c:pt>
                <c:pt idx="655">
                  <c:v>36.85</c:v>
                </c:pt>
                <c:pt idx="656">
                  <c:v>36.85</c:v>
                </c:pt>
                <c:pt idx="657">
                  <c:v>28</c:v>
                </c:pt>
                <c:pt idx="658">
                  <c:v>39</c:v>
                </c:pt>
                <c:pt idx="659">
                  <c:v>22.6</c:v>
                </c:pt>
                <c:pt idx="660">
                  <c:v>11.1</c:v>
                </c:pt>
                <c:pt idx="661">
                  <c:v>146.5</c:v>
                </c:pt>
                <c:pt idx="662">
                  <c:v>2.2250000000000001</c:v>
                </c:pt>
                <c:pt idx="663">
                  <c:v>82</c:v>
                </c:pt>
                <c:pt idx="664">
                  <c:v>23</c:v>
                </c:pt>
                <c:pt idx="665">
                  <c:v>27.5</c:v>
                </c:pt>
                <c:pt idx="666">
                  <c:v>11.45</c:v>
                </c:pt>
                <c:pt idx="667">
                  <c:v>84</c:v>
                </c:pt>
                <c:pt idx="668">
                  <c:v>143</c:v>
                </c:pt>
                <c:pt idx="669">
                  <c:v>28</c:v>
                </c:pt>
                <c:pt idx="670">
                  <c:v>39</c:v>
                </c:pt>
                <c:pt idx="671">
                  <c:v>59.75</c:v>
                </c:pt>
                <c:pt idx="672">
                  <c:v>135.85</c:v>
                </c:pt>
                <c:pt idx="673">
                  <c:v>138</c:v>
                </c:pt>
                <c:pt idx="674">
                  <c:v>2.62</c:v>
                </c:pt>
                <c:pt idx="675">
                  <c:v>79.900000000000006</c:v>
                </c:pt>
                <c:pt idx="676">
                  <c:v>77.900000000000006</c:v>
                </c:pt>
                <c:pt idx="677">
                  <c:v>34.5</c:v>
                </c:pt>
                <c:pt idx="678">
                  <c:v>3.3</c:v>
                </c:pt>
                <c:pt idx="679">
                  <c:v>19.2</c:v>
                </c:pt>
                <c:pt idx="680">
                  <c:v>1.6</c:v>
                </c:pt>
                <c:pt idx="681">
                  <c:v>1.6</c:v>
                </c:pt>
                <c:pt idx="682">
                  <c:v>30</c:v>
                </c:pt>
                <c:pt idx="683">
                  <c:v>15.35</c:v>
                </c:pt>
              </c:numCache>
            </c:numRef>
          </c:xVal>
          <c:yVal>
            <c:numRef>
              <c:f>CMOS!$X$3:$X$845</c:f>
              <c:numCache>
                <c:formatCode>0.00</c:formatCode>
                <c:ptCount val="843"/>
                <c:pt idx="0">
                  <c:v>21.290564787576336</c:v>
                </c:pt>
                <c:pt idx="1">
                  <c:v>20.671191812370033</c:v>
                </c:pt>
                <c:pt idx="2">
                  <c:v>20.688891381295672</c:v>
                </c:pt>
                <c:pt idx="3">
                  <c:v>18.341605085563657</c:v>
                </c:pt>
                <c:pt idx="4">
                  <c:v>17.986777222526804</c:v>
                </c:pt>
                <c:pt idx="5">
                  <c:v>19.751377595703971</c:v>
                </c:pt>
                <c:pt idx="6">
                  <c:v>19.020303467532248</c:v>
                </c:pt>
                <c:pt idx="7">
                  <c:v>18.076218206379934</c:v>
                </c:pt>
                <c:pt idx="8">
                  <c:v>17.749155178551245</c:v>
                </c:pt>
                <c:pt idx="9">
                  <c:v>19.019987998550846</c:v>
                </c:pt>
                <c:pt idx="10">
                  <c:v>20.197399994270281</c:v>
                </c:pt>
                <c:pt idx="11">
                  <c:v>18.83177742374836</c:v>
                </c:pt>
                <c:pt idx="12">
                  <c:v>16.307871670464497</c:v>
                </c:pt>
                <c:pt idx="13">
                  <c:v>16.545035132537926</c:v>
                </c:pt>
                <c:pt idx="14">
                  <c:v>14.777678104794303</c:v>
                </c:pt>
                <c:pt idx="15">
                  <c:v>14.213445014494024</c:v>
                </c:pt>
                <c:pt idx="16">
                  <c:v>#N/A</c:v>
                </c:pt>
                <c:pt idx="17">
                  <c:v>15.322344128317795</c:v>
                </c:pt>
                <c:pt idx="18">
                  <c:v>17.779660942086998</c:v>
                </c:pt>
                <c:pt idx="19">
                  <c:v>12.077064147247453</c:v>
                </c:pt>
                <c:pt idx="20">
                  <c:v>15.350169619157072</c:v>
                </c:pt>
                <c:pt idx="21">
                  <c:v>18.302366486287561</c:v>
                </c:pt>
                <c:pt idx="22">
                  <c:v>17.630777444811262</c:v>
                </c:pt>
                <c:pt idx="23">
                  <c:v>18.542133254743916</c:v>
                </c:pt>
                <c:pt idx="24">
                  <c:v>19.045680977662876</c:v>
                </c:pt>
                <c:pt idx="25">
                  <c:v>13.962656101155599</c:v>
                </c:pt>
                <c:pt idx="26">
                  <c:v>17.337708756220309</c:v>
                </c:pt>
                <c:pt idx="27">
                  <c:v>17.110466753884598</c:v>
                </c:pt>
                <c:pt idx="28">
                  <c:v>19.082442957711489</c:v>
                </c:pt>
                <c:pt idx="29">
                  <c:v>20.85282229318171</c:v>
                </c:pt>
                <c:pt idx="30">
                  <c:v>18.04595020824755</c:v>
                </c:pt>
                <c:pt idx="31">
                  <c:v>15.103511629070505</c:v>
                </c:pt>
                <c:pt idx="32">
                  <c:v>22.426974386016767</c:v>
                </c:pt>
                <c:pt idx="33">
                  <c:v>22.931223759401927</c:v>
                </c:pt>
                <c:pt idx="34">
                  <c:v>12.947602612926058</c:v>
                </c:pt>
                <c:pt idx="35">
                  <c:v>16.431986315823821</c:v>
                </c:pt>
                <c:pt idx="36">
                  <c:v>16.418596199025256</c:v>
                </c:pt>
                <c:pt idx="37">
                  <c:v>15.379490678697138</c:v>
                </c:pt>
                <c:pt idx="38">
                  <c:v>16.71576212456463</c:v>
                </c:pt>
                <c:pt idx="39">
                  <c:v>15.721223966845582</c:v>
                </c:pt>
                <c:pt idx="40">
                  <c:v>11.454844387225451</c:v>
                </c:pt>
                <c:pt idx="41">
                  <c:v>15.129140620355322</c:v>
                </c:pt>
                <c:pt idx="42">
                  <c:v>17.91373737535174</c:v>
                </c:pt>
                <c:pt idx="43">
                  <c:v>15.164527967685192</c:v>
                </c:pt>
                <c:pt idx="44">
                  <c:v>16.398316324167389</c:v>
                </c:pt>
                <c:pt idx="45">
                  <c:v>15.869113554707948</c:v>
                </c:pt>
                <c:pt idx="46">
                  <c:v>18.192375198185896</c:v>
                </c:pt>
                <c:pt idx="47">
                  <c:v>13.871286288369086</c:v>
                </c:pt>
                <c:pt idx="48">
                  <c:v>17.177716254287482</c:v>
                </c:pt>
                <c:pt idx="49">
                  <c:v>16.961185996472384</c:v>
                </c:pt>
                <c:pt idx="50">
                  <c:v>15.797718783443138</c:v>
                </c:pt>
                <c:pt idx="51">
                  <c:v>15.518045432787964</c:v>
                </c:pt>
                <c:pt idx="52">
                  <c:v>15.873135357059684</c:v>
                </c:pt>
                <c:pt idx="53">
                  <c:v>16.855870843206734</c:v>
                </c:pt>
                <c:pt idx="54">
                  <c:v>18.910866927072778</c:v>
                </c:pt>
                <c:pt idx="55">
                  <c:v>18.538068238419001</c:v>
                </c:pt>
                <c:pt idx="56">
                  <c:v>19.77731847638584</c:v>
                </c:pt>
                <c:pt idx="57">
                  <c:v>14.581656483426146</c:v>
                </c:pt>
                <c:pt idx="58">
                  <c:v>16.677314681121786</c:v>
                </c:pt>
                <c:pt idx="59">
                  <c:v>20.940063772786679</c:v>
                </c:pt>
                <c:pt idx="60">
                  <c:v>20.720069580464088</c:v>
                </c:pt>
                <c:pt idx="61">
                  <c:v>19.975173252978944</c:v>
                </c:pt>
                <c:pt idx="62">
                  <c:v>22.7264678947062</c:v>
                </c:pt>
                <c:pt idx="63">
                  <c:v>21.006900754756238</c:v>
                </c:pt>
                <c:pt idx="64">
                  <c:v>19.880333747045661</c:v>
                </c:pt>
                <c:pt idx="65">
                  <c:v>18.652837083445014</c:v>
                </c:pt>
                <c:pt idx="66">
                  <c:v>17.401621769513408</c:v>
                </c:pt>
                <c:pt idx="67">
                  <c:v>23.018031417832976</c:v>
                </c:pt>
                <c:pt idx="68">
                  <c:v>16.30537223311276</c:v>
                </c:pt>
                <c:pt idx="69">
                  <c:v>24.794209884303879</c:v>
                </c:pt>
                <c:pt idx="70">
                  <c:v>25.310629406366193</c:v>
                </c:pt>
                <c:pt idx="71">
                  <c:v>12.763567167011205</c:v>
                </c:pt>
                <c:pt idx="72">
                  <c:v>17.988961143838452</c:v>
                </c:pt>
                <c:pt idx="73">
                  <c:v>23.428460207863267</c:v>
                </c:pt>
                <c:pt idx="74">
                  <c:v>22.585583180577828</c:v>
                </c:pt>
                <c:pt idx="75">
                  <c:v>21.629403832537491</c:v>
                </c:pt>
                <c:pt idx="76">
                  <c:v>19.804813814743078</c:v>
                </c:pt>
                <c:pt idx="77">
                  <c:v>21.685718731037163</c:v>
                </c:pt>
                <c:pt idx="78">
                  <c:v>16.724044497536141</c:v>
                </c:pt>
                <c:pt idx="79">
                  <c:v>15.751483165154918</c:v>
                </c:pt>
                <c:pt idx="80">
                  <c:v>15.19905840978506</c:v>
                </c:pt>
                <c:pt idx="81">
                  <c:v>13.496483195575475</c:v>
                </c:pt>
                <c:pt idx="82">
                  <c:v>14.102229732315042</c:v>
                </c:pt>
                <c:pt idx="83">
                  <c:v>15.362746687558278</c:v>
                </c:pt>
                <c:pt idx="84">
                  <c:v>25.484527297727766</c:v>
                </c:pt>
                <c:pt idx="85">
                  <c:v>19.230442604022951</c:v>
                </c:pt>
                <c:pt idx="86">
                  <c:v>19.167792353277264</c:v>
                </c:pt>
                <c:pt idx="87">
                  <c:v>15.307172993460281</c:v>
                </c:pt>
                <c:pt idx="88">
                  <c:v>14.286898672928352</c:v>
                </c:pt>
                <c:pt idx="89">
                  <c:v>19.251966756389031</c:v>
                </c:pt>
                <c:pt idx="90">
                  <c:v>20.639316242212015</c:v>
                </c:pt>
                <c:pt idx="91">
                  <c:v>16.237591875009013</c:v>
                </c:pt>
                <c:pt idx="92">
                  <c:v>#N/A</c:v>
                </c:pt>
                <c:pt idx="93">
                  <c:v>14.281619395124554</c:v>
                </c:pt>
                <c:pt idx="94">
                  <c:v>17.102616791645055</c:v>
                </c:pt>
                <c:pt idx="95">
                  <c:v>17.442704795471819</c:v>
                </c:pt>
                <c:pt idx="96">
                  <c:v>21.234416273750178</c:v>
                </c:pt>
                <c:pt idx="97">
                  <c:v>20.906313681900887</c:v>
                </c:pt>
                <c:pt idx="98">
                  <c:v>14.03498694889117</c:v>
                </c:pt>
                <c:pt idx="99">
                  <c:v>23.543398581825727</c:v>
                </c:pt>
                <c:pt idx="100">
                  <c:v>23.28798707373814</c:v>
                </c:pt>
                <c:pt idx="101">
                  <c:v>13.948287430237421</c:v>
                </c:pt>
                <c:pt idx="102">
                  <c:v>21.675832872438843</c:v>
                </c:pt>
                <c:pt idx="103">
                  <c:v>15.881891509486707</c:v>
                </c:pt>
                <c:pt idx="104">
                  <c:v>17.426446074297949</c:v>
                </c:pt>
                <c:pt idx="105">
                  <c:v>22.339097875591001</c:v>
                </c:pt>
                <c:pt idx="106">
                  <c:v>24.503613161534791</c:v>
                </c:pt>
                <c:pt idx="107">
                  <c:v>#N/A</c:v>
                </c:pt>
                <c:pt idx="108">
                  <c:v>14.369101206201051</c:v>
                </c:pt>
                <c:pt idx="109">
                  <c:v>18.297450939338592</c:v>
                </c:pt>
                <c:pt idx="110">
                  <c:v>21.166327613958043</c:v>
                </c:pt>
                <c:pt idx="111">
                  <c:v>10.072735655289158</c:v>
                </c:pt>
                <c:pt idx="112">
                  <c:v>11.438764692738166</c:v>
                </c:pt>
                <c:pt idx="113">
                  <c:v>15.389565501385608</c:v>
                </c:pt>
                <c:pt idx="114">
                  <c:v>19.984142763364755</c:v>
                </c:pt>
                <c:pt idx="115">
                  <c:v>12.6289383445065</c:v>
                </c:pt>
                <c:pt idx="116">
                  <c:v>21.261316082972254</c:v>
                </c:pt>
                <c:pt idx="117">
                  <c:v>22.011711840042739</c:v>
                </c:pt>
                <c:pt idx="118">
                  <c:v>21.53564846854843</c:v>
                </c:pt>
                <c:pt idx="119">
                  <c:v>21.262949798196992</c:v>
                </c:pt>
                <c:pt idx="120">
                  <c:v>14.692928607260471</c:v>
                </c:pt>
                <c:pt idx="121">
                  <c:v>17.379919515657399</c:v>
                </c:pt>
                <c:pt idx="122">
                  <c:v>#N/A</c:v>
                </c:pt>
                <c:pt idx="123">
                  <c:v>18.792067639889009</c:v>
                </c:pt>
                <c:pt idx="124">
                  <c:v>18.594686946738783</c:v>
                </c:pt>
                <c:pt idx="125">
                  <c:v>18.603928107354154</c:v>
                </c:pt>
                <c:pt idx="126">
                  <c:v>17.216349799103927</c:v>
                </c:pt>
                <c:pt idx="127">
                  <c:v>20.75882294635548</c:v>
                </c:pt>
                <c:pt idx="128">
                  <c:v>20.358365204929065</c:v>
                </c:pt>
                <c:pt idx="129">
                  <c:v>17.987664991040884</c:v>
                </c:pt>
                <c:pt idx="130">
                  <c:v>18.457433195341878</c:v>
                </c:pt>
                <c:pt idx="131">
                  <c:v>19.514374012904273</c:v>
                </c:pt>
                <c:pt idx="132">
                  <c:v>18.834579350087527</c:v>
                </c:pt>
                <c:pt idx="133">
                  <c:v>18.832697508312432</c:v>
                </c:pt>
                <c:pt idx="134">
                  <c:v>18.007813475526817</c:v>
                </c:pt>
                <c:pt idx="135">
                  <c:v>13.203042266523585</c:v>
                </c:pt>
                <c:pt idx="136">
                  <c:v>18.82766731499666</c:v>
                </c:pt>
                <c:pt idx="137">
                  <c:v>12.335842024259909</c:v>
                </c:pt>
                <c:pt idx="138">
                  <c:v>29.999891759375892</c:v>
                </c:pt>
                <c:pt idx="139">
                  <c:v>21.303180627054218</c:v>
                </c:pt>
                <c:pt idx="140">
                  <c:v>1.7039040586116343</c:v>
                </c:pt>
                <c:pt idx="141">
                  <c:v>3.8266992687136644E-3</c:v>
                </c:pt>
                <c:pt idx="142">
                  <c:v>17.648465280536701</c:v>
                </c:pt>
                <c:pt idx="143">
                  <c:v>18.357700643837369</c:v>
                </c:pt>
                <c:pt idx="144">
                  <c:v>15.852983937756623</c:v>
                </c:pt>
                <c:pt idx="145">
                  <c:v>8.476418406055469</c:v>
                </c:pt>
                <c:pt idx="146">
                  <c:v>8.6346529307927646</c:v>
                </c:pt>
                <c:pt idx="147">
                  <c:v>8.4797338205067678</c:v>
                </c:pt>
                <c:pt idx="148">
                  <c:v>8.5150395180226397</c:v>
                </c:pt>
                <c:pt idx="149">
                  <c:v>8.6256034498548946</c:v>
                </c:pt>
                <c:pt idx="150">
                  <c:v>14.750427001725781</c:v>
                </c:pt>
                <c:pt idx="151">
                  <c:v>#N/A</c:v>
                </c:pt>
                <c:pt idx="152">
                  <c:v>25.242146196931404</c:v>
                </c:pt>
                <c:pt idx="153">
                  <c:v>12.545202949822219</c:v>
                </c:pt>
                <c:pt idx="154">
                  <c:v>17.875746557899831</c:v>
                </c:pt>
                <c:pt idx="155">
                  <c:v>22.75916605278978</c:v>
                </c:pt>
                <c:pt idx="156">
                  <c:v>19.809946284559896</c:v>
                </c:pt>
                <c:pt idx="157">
                  <c:v>28.129323849738679</c:v>
                </c:pt>
                <c:pt idx="158">
                  <c:v>23.960981023124855</c:v>
                </c:pt>
                <c:pt idx="159">
                  <c:v>15.748502712252199</c:v>
                </c:pt>
                <c:pt idx="160">
                  <c:v>18.511897856940852</c:v>
                </c:pt>
                <c:pt idx="161">
                  <c:v>18.94492644702305</c:v>
                </c:pt>
                <c:pt idx="162">
                  <c:v>23.665432565750546</c:v>
                </c:pt>
                <c:pt idx="163">
                  <c:v>22.67589744969596</c:v>
                </c:pt>
                <c:pt idx="164">
                  <c:v>14.345454420383124</c:v>
                </c:pt>
                <c:pt idx="165">
                  <c:v>18.057561827009302</c:v>
                </c:pt>
                <c:pt idx="166">
                  <c:v>20.288772809692617</c:v>
                </c:pt>
                <c:pt idx="167">
                  <c:v>20.555942532955097</c:v>
                </c:pt>
                <c:pt idx="168">
                  <c:v>14.186182429640207</c:v>
                </c:pt>
                <c:pt idx="169">
                  <c:v>16.583292088897672</c:v>
                </c:pt>
                <c:pt idx="170">
                  <c:v>18.818131081337089</c:v>
                </c:pt>
                <c:pt idx="171">
                  <c:v>18.818131081337089</c:v>
                </c:pt>
                <c:pt idx="172">
                  <c:v>19.100357681570024</c:v>
                </c:pt>
                <c:pt idx="173">
                  <c:v>19.100357681570024</c:v>
                </c:pt>
                <c:pt idx="177">
                  <c:v>21.662478598046306</c:v>
                </c:pt>
                <c:pt idx="178">
                  <c:v>15.629447829804066</c:v>
                </c:pt>
                <c:pt idx="179">
                  <c:v>12.642373878033412</c:v>
                </c:pt>
                <c:pt idx="180">
                  <c:v>21.99366140414844</c:v>
                </c:pt>
                <c:pt idx="181">
                  <c:v>9.86151911962917</c:v>
                </c:pt>
                <c:pt idx="182">
                  <c:v>17.539108388552563</c:v>
                </c:pt>
                <c:pt idx="183">
                  <c:v>22.591316073876612</c:v>
                </c:pt>
                <c:pt idx="184">
                  <c:v>17.088988304481013</c:v>
                </c:pt>
                <c:pt idx="185">
                  <c:v>19.050626815864881</c:v>
                </c:pt>
                <c:pt idx="186">
                  <c:v>21.132992599488404</c:v>
                </c:pt>
                <c:pt idx="187">
                  <c:v>#N/A</c:v>
                </c:pt>
                <c:pt idx="189">
                  <c:v>14.752262381994752</c:v>
                </c:pt>
                <c:pt idx="190">
                  <c:v>#N/A</c:v>
                </c:pt>
                <c:pt idx="191">
                  <c:v>18.462947501190854</c:v>
                </c:pt>
                <c:pt idx="192">
                  <c:v>21.147514003104583</c:v>
                </c:pt>
                <c:pt idx="193">
                  <c:v>12.608258637421519</c:v>
                </c:pt>
                <c:pt idx="194">
                  <c:v>15.2112170599002</c:v>
                </c:pt>
                <c:pt idx="195">
                  <c:v>21.900406991342763</c:v>
                </c:pt>
                <c:pt idx="196">
                  <c:v>22.442952910567282</c:v>
                </c:pt>
                <c:pt idx="197">
                  <c:v>22.596360928703273</c:v>
                </c:pt>
                <c:pt idx="198">
                  <c:v>22.709952575243115</c:v>
                </c:pt>
                <c:pt idx="199">
                  <c:v>16.335273672825213</c:v>
                </c:pt>
                <c:pt idx="200">
                  <c:v>20.403549421649281</c:v>
                </c:pt>
                <c:pt idx="201">
                  <c:v>22.534008170003204</c:v>
                </c:pt>
                <c:pt idx="202">
                  <c:v>22.804326900623106</c:v>
                </c:pt>
                <c:pt idx="203">
                  <c:v>19.404844674830592</c:v>
                </c:pt>
                <c:pt idx="204">
                  <c:v>19.592269969561876</c:v>
                </c:pt>
                <c:pt idx="205">
                  <c:v>16.077561372469123</c:v>
                </c:pt>
                <c:pt idx="206">
                  <c:v>13.292668707442662</c:v>
                </c:pt>
                <c:pt idx="207">
                  <c:v>17.232446095383647</c:v>
                </c:pt>
                <c:pt idx="208">
                  <c:v>20.698921331015619</c:v>
                </c:pt>
                <c:pt idx="209">
                  <c:v>15.61150381095047</c:v>
                </c:pt>
                <c:pt idx="210">
                  <c:v>15.51822073206985</c:v>
                </c:pt>
                <c:pt idx="211">
                  <c:v>17.256943610303157</c:v>
                </c:pt>
                <c:pt idx="212">
                  <c:v>15.445999465336699</c:v>
                </c:pt>
                <c:pt idx="213">
                  <c:v>15.77493398817669</c:v>
                </c:pt>
                <c:pt idx="214">
                  <c:v>18.949682810872567</c:v>
                </c:pt>
                <c:pt idx="215">
                  <c:v>18.264538634850538</c:v>
                </c:pt>
                <c:pt idx="216">
                  <c:v>14.195175017844633</c:v>
                </c:pt>
                <c:pt idx="217">
                  <c:v>19.612564078639561</c:v>
                </c:pt>
                <c:pt idx="218">
                  <c:v>15.07765030282869</c:v>
                </c:pt>
                <c:pt idx="219">
                  <c:v>14.583457544561897</c:v>
                </c:pt>
                <c:pt idx="220">
                  <c:v>18.926963965010405</c:v>
                </c:pt>
                <c:pt idx="221">
                  <c:v>19.420644340382744</c:v>
                </c:pt>
                <c:pt idx="222">
                  <c:v>8.5717973699384213</c:v>
                </c:pt>
                <c:pt idx="223">
                  <c:v>22.134504161190954</c:v>
                </c:pt>
                <c:pt idx="224">
                  <c:v>23.846167500624293</c:v>
                </c:pt>
                <c:pt idx="225">
                  <c:v>7.5187326663396234</c:v>
                </c:pt>
                <c:pt idx="226">
                  <c:v>12.328444839008883</c:v>
                </c:pt>
                <c:pt idx="227">
                  <c:v>13.29232028131061</c:v>
                </c:pt>
                <c:pt idx="228">
                  <c:v>19.278332404515769</c:v>
                </c:pt>
                <c:pt idx="229">
                  <c:v>19.390201321058186</c:v>
                </c:pt>
                <c:pt idx="230">
                  <c:v>14.681107027548798</c:v>
                </c:pt>
                <c:pt idx="231">
                  <c:v>15.064232162023734</c:v>
                </c:pt>
                <c:pt idx="232">
                  <c:v>18.200577550480418</c:v>
                </c:pt>
                <c:pt idx="233">
                  <c:v>11.496181606016428</c:v>
                </c:pt>
                <c:pt idx="234">
                  <c:v>20.542111244786064</c:v>
                </c:pt>
                <c:pt idx="235">
                  <c:v>21.926455183744409</c:v>
                </c:pt>
                <c:pt idx="236">
                  <c:v>15.317730554365379</c:v>
                </c:pt>
                <c:pt idx="237">
                  <c:v>14.872022124988201</c:v>
                </c:pt>
                <c:pt idx="238">
                  <c:v>17.980612711734334</c:v>
                </c:pt>
                <c:pt idx="239">
                  <c:v>17.504195740008612</c:v>
                </c:pt>
                <c:pt idx="240">
                  <c:v>18.960275686172828</c:v>
                </c:pt>
                <c:pt idx="241">
                  <c:v>17.443108367709247</c:v>
                </c:pt>
                <c:pt idx="242">
                  <c:v>18.191625783766476</c:v>
                </c:pt>
                <c:pt idx="243">
                  <c:v>16.563157800813922</c:v>
                </c:pt>
                <c:pt idx="244">
                  <c:v>16.102941057952748</c:v>
                </c:pt>
                <c:pt idx="245">
                  <c:v>16.325784690745348</c:v>
                </c:pt>
                <c:pt idx="246">
                  <c:v>17.582267363992926</c:v>
                </c:pt>
                <c:pt idx="247">
                  <c:v>13.644664472188332</c:v>
                </c:pt>
                <c:pt idx="248">
                  <c:v>17.766226073815016</c:v>
                </c:pt>
                <c:pt idx="249">
                  <c:v>20.264219224098316</c:v>
                </c:pt>
                <c:pt idx="250">
                  <c:v>21.208248780408617</c:v>
                </c:pt>
                <c:pt idx="251">
                  <c:v>16.492061123281523</c:v>
                </c:pt>
                <c:pt idx="252">
                  <c:v>20.488539402672195</c:v>
                </c:pt>
                <c:pt idx="253">
                  <c:v>22.308923757913345</c:v>
                </c:pt>
                <c:pt idx="254">
                  <c:v>20.829410941528316</c:v>
                </c:pt>
                <c:pt idx="255">
                  <c:v>16.477129640733402</c:v>
                </c:pt>
                <c:pt idx="256">
                  <c:v>12.745440238508849</c:v>
                </c:pt>
                <c:pt idx="257">
                  <c:v>#N/A</c:v>
                </c:pt>
                <c:pt idx="258">
                  <c:v>22.826980961317616</c:v>
                </c:pt>
                <c:pt idx="259">
                  <c:v>21.541938913477754</c:v>
                </c:pt>
                <c:pt idx="260">
                  <c:v>15.950608710862785</c:v>
                </c:pt>
                <c:pt idx="261">
                  <c:v>14.602409815989908</c:v>
                </c:pt>
                <c:pt idx="262">
                  <c:v>15.12591627511204</c:v>
                </c:pt>
                <c:pt idx="263">
                  <c:v>#N/A</c:v>
                </c:pt>
                <c:pt idx="264">
                  <c:v>12.5001265000699</c:v>
                </c:pt>
                <c:pt idx="265">
                  <c:v>22.490172110236418</c:v>
                </c:pt>
                <c:pt idx="266">
                  <c:v>17.631547858394605</c:v>
                </c:pt>
                <c:pt idx="267">
                  <c:v>12.493020474568528</c:v>
                </c:pt>
                <c:pt idx="268">
                  <c:v>13.158561130374775</c:v>
                </c:pt>
                <c:pt idx="269">
                  <c:v>10.484120585239873</c:v>
                </c:pt>
                <c:pt idx="270">
                  <c:v>16.467842392328713</c:v>
                </c:pt>
                <c:pt idx="271">
                  <c:v>15.799138084903777</c:v>
                </c:pt>
                <c:pt idx="272">
                  <c:v>21.334395994658575</c:v>
                </c:pt>
                <c:pt idx="273">
                  <c:v>20.329487942771138</c:v>
                </c:pt>
                <c:pt idx="274">
                  <c:v>23.201865697104843</c:v>
                </c:pt>
                <c:pt idx="275">
                  <c:v>22.663838614205282</c:v>
                </c:pt>
                <c:pt idx="276">
                  <c:v>14.764958038197573</c:v>
                </c:pt>
                <c:pt idx="277">
                  <c:v>19.916142587877683</c:v>
                </c:pt>
                <c:pt idx="278">
                  <c:v>10.505092680895441</c:v>
                </c:pt>
                <c:pt idx="279">
                  <c:v>22.750577466537621</c:v>
                </c:pt>
                <c:pt idx="280">
                  <c:v>15.893978691278516</c:v>
                </c:pt>
                <c:pt idx="281">
                  <c:v>4.8589086129278334</c:v>
                </c:pt>
                <c:pt idx="282">
                  <c:v>19.905555390279311</c:v>
                </c:pt>
                <c:pt idx="283">
                  <c:v>19.830114568157502</c:v>
                </c:pt>
                <c:pt idx="284">
                  <c:v>10.922438005298613</c:v>
                </c:pt>
                <c:pt idx="285">
                  <c:v>19.707859841921895</c:v>
                </c:pt>
                <c:pt idx="286">
                  <c:v>#N/A</c:v>
                </c:pt>
                <c:pt idx="287">
                  <c:v>13.198945962719863</c:v>
                </c:pt>
                <c:pt idx="288">
                  <c:v>12.75143493688341</c:v>
                </c:pt>
                <c:pt idx="289">
                  <c:v>24.509889774282222</c:v>
                </c:pt>
                <c:pt idx="290">
                  <c:v>#N/A</c:v>
                </c:pt>
                <c:pt idx="291">
                  <c:v>18.968152966905468</c:v>
                </c:pt>
                <c:pt idx="292">
                  <c:v>20.491476148092886</c:v>
                </c:pt>
                <c:pt idx="293">
                  <c:v>22.632238074938115</c:v>
                </c:pt>
                <c:pt idx="294">
                  <c:v>22.7504668591071</c:v>
                </c:pt>
                <c:pt idx="295">
                  <c:v>19.23405328942178</c:v>
                </c:pt>
                <c:pt idx="296">
                  <c:v>20.350515787862278</c:v>
                </c:pt>
                <c:pt idx="297">
                  <c:v>16.450490741971787</c:v>
                </c:pt>
                <c:pt idx="298">
                  <c:v>18.751115156131089</c:v>
                </c:pt>
                <c:pt idx="299">
                  <c:v>14.44352246101486</c:v>
                </c:pt>
                <c:pt idx="300">
                  <c:v>15.677659873664149</c:v>
                </c:pt>
                <c:pt idx="301">
                  <c:v>16.407047389172455</c:v>
                </c:pt>
                <c:pt idx="302">
                  <c:v>14.547327411965787</c:v>
                </c:pt>
                <c:pt idx="303">
                  <c:v>14.213220013964831</c:v>
                </c:pt>
                <c:pt idx="304">
                  <c:v>15.361523622278613</c:v>
                </c:pt>
                <c:pt idx="305">
                  <c:v>15.865040397869752</c:v>
                </c:pt>
                <c:pt idx="306">
                  <c:v>12.746125626377383</c:v>
                </c:pt>
                <c:pt idx="307">
                  <c:v>13.183387443823104</c:v>
                </c:pt>
                <c:pt idx="308">
                  <c:v>12.967776480908022</c:v>
                </c:pt>
                <c:pt idx="309">
                  <c:v>24.358523012631959</c:v>
                </c:pt>
                <c:pt idx="310">
                  <c:v>23.535750412660601</c:v>
                </c:pt>
                <c:pt idx="311">
                  <c:v>#N/A</c:v>
                </c:pt>
                <c:pt idx="312">
                  <c:v>#N/A</c:v>
                </c:pt>
                <c:pt idx="314">
                  <c:v>#N/A</c:v>
                </c:pt>
                <c:pt idx="315">
                  <c:v>#N/A</c:v>
                </c:pt>
                <c:pt idx="316">
                  <c:v>#N/A</c:v>
                </c:pt>
                <c:pt idx="317">
                  <c:v>14.752262381994752</c:v>
                </c:pt>
                <c:pt idx="318">
                  <c:v>15.313620520052583</c:v>
                </c:pt>
                <c:pt idx="319">
                  <c:v>17.236725642319136</c:v>
                </c:pt>
                <c:pt idx="320">
                  <c:v>16.1964388146814</c:v>
                </c:pt>
                <c:pt idx="321">
                  <c:v>20.123537749434174</c:v>
                </c:pt>
                <c:pt idx="322">
                  <c:v>16.447054355208405</c:v>
                </c:pt>
                <c:pt idx="323">
                  <c:v>15.61150381095047</c:v>
                </c:pt>
                <c:pt idx="324">
                  <c:v>15.51822073206985</c:v>
                </c:pt>
                <c:pt idx="325">
                  <c:v>19.12427943605049</c:v>
                </c:pt>
                <c:pt idx="326">
                  <c:v>19.052906774694122</c:v>
                </c:pt>
                <c:pt idx="327">
                  <c:v>15.971270175696946</c:v>
                </c:pt>
                <c:pt idx="328">
                  <c:v>20.147721584469117</c:v>
                </c:pt>
                <c:pt idx="329">
                  <c:v>13.819140884150759</c:v>
                </c:pt>
                <c:pt idx="330">
                  <c:v>15.909378181842355</c:v>
                </c:pt>
                <c:pt idx="331">
                  <c:v>15.154231661591592</c:v>
                </c:pt>
                <c:pt idx="332">
                  <c:v>14.376074241388785</c:v>
                </c:pt>
                <c:pt idx="333">
                  <c:v>14.567690648168108</c:v>
                </c:pt>
                <c:pt idx="334">
                  <c:v>#N/A</c:v>
                </c:pt>
                <c:pt idx="335">
                  <c:v>18.122834487229078</c:v>
                </c:pt>
                <c:pt idx="336">
                  <c:v>20.400495161203949</c:v>
                </c:pt>
                <c:pt idx="337">
                  <c:v>17.988961143838452</c:v>
                </c:pt>
                <c:pt idx="338">
                  <c:v>10.064057849852592</c:v>
                </c:pt>
                <c:pt idx="339">
                  <c:v>#N/A</c:v>
                </c:pt>
                <c:pt idx="340">
                  <c:v>16.25167906250541</c:v>
                </c:pt>
                <c:pt idx="341">
                  <c:v>19.916142587877683</c:v>
                </c:pt>
                <c:pt idx="342">
                  <c:v>18.177042391994323</c:v>
                </c:pt>
                <c:pt idx="343">
                  <c:v>13.75679622061222</c:v>
                </c:pt>
                <c:pt idx="344">
                  <c:v>22.938709013092371</c:v>
                </c:pt>
                <c:pt idx="345">
                  <c:v>11.429386101260945</c:v>
                </c:pt>
                <c:pt idx="346">
                  <c:v>15.81490783379865</c:v>
                </c:pt>
                <c:pt idx="347">
                  <c:v>22.715009325186237</c:v>
                </c:pt>
                <c:pt idx="348">
                  <c:v>21.462983276433039</c:v>
                </c:pt>
                <c:pt idx="351">
                  <c:v>25.303833171805358</c:v>
                </c:pt>
                <c:pt idx="352">
                  <c:v>17.922856053154707</c:v>
                </c:pt>
                <c:pt idx="353">
                  <c:v>20.286596477896705</c:v>
                </c:pt>
                <c:pt idx="354">
                  <c:v>21.420106430578919</c:v>
                </c:pt>
                <c:pt idx="355">
                  <c:v>#N/A</c:v>
                </c:pt>
                <c:pt idx="356">
                  <c:v>22.835033921559184</c:v>
                </c:pt>
                <c:pt idx="357">
                  <c:v>18.185579121315762</c:v>
                </c:pt>
                <c:pt idx="358">
                  <c:v>14.821077476543698</c:v>
                </c:pt>
                <c:pt idx="359">
                  <c:v>17.273411431186357</c:v>
                </c:pt>
                <c:pt idx="360">
                  <c:v>13.849043663287384</c:v>
                </c:pt>
                <c:pt idx="361">
                  <c:v>13.812450201914801</c:v>
                </c:pt>
                <c:pt idx="362">
                  <c:v>15.29534306169305</c:v>
                </c:pt>
                <c:pt idx="363">
                  <c:v>10.242223594681199</c:v>
                </c:pt>
                <c:pt idx="364">
                  <c:v>19.465942940009565</c:v>
                </c:pt>
                <c:pt idx="365">
                  <c:v>15.000757292445799</c:v>
                </c:pt>
                <c:pt idx="366">
                  <c:v>13.10676419544702</c:v>
                </c:pt>
                <c:pt idx="367">
                  <c:v>12.717110443822069</c:v>
                </c:pt>
                <c:pt idx="368">
                  <c:v>18.143047484230387</c:v>
                </c:pt>
                <c:pt idx="369">
                  <c:v>14.867074518853915</c:v>
                </c:pt>
                <c:pt idx="370">
                  <c:v>16.025609890469632</c:v>
                </c:pt>
                <c:pt idx="371">
                  <c:v>12.100606612672474</c:v>
                </c:pt>
                <c:pt idx="372">
                  <c:v>9.851254855746955</c:v>
                </c:pt>
                <c:pt idx="373">
                  <c:v>16.180138408714932</c:v>
                </c:pt>
                <c:pt idx="374">
                  <c:v>15.934732386997927</c:v>
                </c:pt>
                <c:pt idx="375">
                  <c:v>19.826888057410365</c:v>
                </c:pt>
                <c:pt idx="376">
                  <c:v>17.330121341983894</c:v>
                </c:pt>
                <c:pt idx="377">
                  <c:v>15.878256557963228</c:v>
                </c:pt>
                <c:pt idx="378">
                  <c:v>16.955908043065126</c:v>
                </c:pt>
                <c:pt idx="379">
                  <c:v>17.547980821805417</c:v>
                </c:pt>
                <c:pt idx="380">
                  <c:v>17.936560148371264</c:v>
                </c:pt>
                <c:pt idx="381">
                  <c:v>16.251187500804917</c:v>
                </c:pt>
                <c:pt idx="382">
                  <c:v>19.251966756389031</c:v>
                </c:pt>
                <c:pt idx="383">
                  <c:v>21.968149983445823</c:v>
                </c:pt>
                <c:pt idx="384">
                  <c:v>23.341420586790456</c:v>
                </c:pt>
                <c:pt idx="385">
                  <c:v>17.994326595590856</c:v>
                </c:pt>
                <c:pt idx="386">
                  <c:v>16.569879072669856</c:v>
                </c:pt>
                <c:pt idx="387">
                  <c:v>17.631547858394605</c:v>
                </c:pt>
                <c:pt idx="388">
                  <c:v>24.669237694736232</c:v>
                </c:pt>
                <c:pt idx="389">
                  <c:v>18.411592775553352</c:v>
                </c:pt>
                <c:pt idx="390">
                  <c:v>15.751483165154918</c:v>
                </c:pt>
                <c:pt idx="391">
                  <c:v>15.19905840978506</c:v>
                </c:pt>
                <c:pt idx="392">
                  <c:v>13.496483195575475</c:v>
                </c:pt>
                <c:pt idx="393">
                  <c:v>14.102229732315042</c:v>
                </c:pt>
                <c:pt idx="394">
                  <c:v>16.048010764961621</c:v>
                </c:pt>
                <c:pt idx="395">
                  <c:v>13.82264754548733</c:v>
                </c:pt>
                <c:pt idx="396">
                  <c:v>13.935994975560481</c:v>
                </c:pt>
                <c:pt idx="397">
                  <c:v>14.03324468339207</c:v>
                </c:pt>
                <c:pt idx="398">
                  <c:v>14.376222866809091</c:v>
                </c:pt>
                <c:pt idx="399">
                  <c:v>14.378120955393355</c:v>
                </c:pt>
                <c:pt idx="400">
                  <c:v>13.703881212560525</c:v>
                </c:pt>
                <c:pt idx="401">
                  <c:v>18.890366854006025</c:v>
                </c:pt>
                <c:pt idx="402">
                  <c:v>18.371796964938156</c:v>
                </c:pt>
                <c:pt idx="403">
                  <c:v>19.417249543050961</c:v>
                </c:pt>
                <c:pt idx="404">
                  <c:v>14.777278655607212</c:v>
                </c:pt>
                <c:pt idx="405">
                  <c:v>22.450659220410813</c:v>
                </c:pt>
                <c:pt idx="406">
                  <c:v>13.627237802917321</c:v>
                </c:pt>
                <c:pt idx="407">
                  <c:v>15.893978691278516</c:v>
                </c:pt>
                <c:pt idx="408">
                  <c:v>21.581677262354052</c:v>
                </c:pt>
                <c:pt idx="409">
                  <c:v>26.566088762185505</c:v>
                </c:pt>
                <c:pt idx="410">
                  <c:v>22.530655424120162</c:v>
                </c:pt>
                <c:pt idx="411">
                  <c:v>20.075588065930727</c:v>
                </c:pt>
                <c:pt idx="412">
                  <c:v>20.775564452797838</c:v>
                </c:pt>
                <c:pt idx="413">
                  <c:v>21.928721061798761</c:v>
                </c:pt>
                <c:pt idx="414">
                  <c:v>19.905555390279311</c:v>
                </c:pt>
                <c:pt idx="415">
                  <c:v>19.830114568157502</c:v>
                </c:pt>
                <c:pt idx="416">
                  <c:v>17.340849187715264</c:v>
                </c:pt>
                <c:pt idx="417">
                  <c:v>17.246075730901811</c:v>
                </c:pt>
                <c:pt idx="418">
                  <c:v>21.69337693297253</c:v>
                </c:pt>
                <c:pt idx="419">
                  <c:v>#N/A</c:v>
                </c:pt>
                <c:pt idx="420">
                  <c:v>16.323871930812508</c:v>
                </c:pt>
                <c:pt idx="421">
                  <c:v>#N/A</c:v>
                </c:pt>
                <c:pt idx="422">
                  <c:v>#N/A</c:v>
                </c:pt>
                <c:pt idx="423">
                  <c:v>18.57988698785881</c:v>
                </c:pt>
                <c:pt idx="424">
                  <c:v>16.879942428073761</c:v>
                </c:pt>
                <c:pt idx="425">
                  <c:v>12.284241666944983</c:v>
                </c:pt>
                <c:pt idx="426">
                  <c:v>9.5626608526222228</c:v>
                </c:pt>
                <c:pt idx="427">
                  <c:v>20.376960453257098</c:v>
                </c:pt>
                <c:pt idx="428">
                  <c:v>19.786665092694079</c:v>
                </c:pt>
                <c:pt idx="429">
                  <c:v>22.616846997684185</c:v>
                </c:pt>
                <c:pt idx="430">
                  <c:v>17.809610476058719</c:v>
                </c:pt>
                <c:pt idx="431">
                  <c:v>22.628462154354377</c:v>
                </c:pt>
                <c:pt idx="432">
                  <c:v>0</c:v>
                </c:pt>
                <c:pt idx="433">
                  <c:v>23.572120446948045</c:v>
                </c:pt>
                <c:pt idx="434">
                  <c:v>18.94492644702305</c:v>
                </c:pt>
                <c:pt idx="435">
                  <c:v>23.013332474287775</c:v>
                </c:pt>
                <c:pt idx="436">
                  <c:v>22.504238857191741</c:v>
                </c:pt>
                <c:pt idx="437">
                  <c:v>21.639640399315347</c:v>
                </c:pt>
                <c:pt idx="438">
                  <c:v>21.957905184994544</c:v>
                </c:pt>
                <c:pt idx="439">
                  <c:v>20.640458637871397</c:v>
                </c:pt>
                <c:pt idx="440">
                  <c:v>23.920067666093967</c:v>
                </c:pt>
                <c:pt idx="441">
                  <c:v>16.482685257473332</c:v>
                </c:pt>
                <c:pt idx="442">
                  <c:v>16.624036666752978</c:v>
                </c:pt>
                <c:pt idx="443">
                  <c:v>18.034352675613079</c:v>
                </c:pt>
                <c:pt idx="444">
                  <c:v>16.366297628618515</c:v>
                </c:pt>
                <c:pt idx="445">
                  <c:v>18.50682602867256</c:v>
                </c:pt>
                <c:pt idx="446">
                  <c:v>20.248056391630314</c:v>
                </c:pt>
                <c:pt idx="447">
                  <c:v>25.860190123204006</c:v>
                </c:pt>
                <c:pt idx="448">
                  <c:v>22.726487645685719</c:v>
                </c:pt>
                <c:pt idx="449">
                  <c:v>14.186182429640207</c:v>
                </c:pt>
                <c:pt idx="450">
                  <c:v>19.050417761244663</c:v>
                </c:pt>
                <c:pt idx="451">
                  <c:v>21.132992599488404</c:v>
                </c:pt>
                <c:pt idx="452">
                  <c:v>21.735372357384236</c:v>
                </c:pt>
                <c:pt idx="453">
                  <c:v>12.769934363493224</c:v>
                </c:pt>
                <c:pt idx="454">
                  <c:v>13.299168714755364</c:v>
                </c:pt>
                <c:pt idx="455">
                  <c:v>18.798835477038569</c:v>
                </c:pt>
                <c:pt idx="456">
                  <c:v>20.299286894296667</c:v>
                </c:pt>
                <c:pt idx="457">
                  <c:v>24.671551292434351</c:v>
                </c:pt>
                <c:pt idx="458">
                  <c:v>#N/A</c:v>
                </c:pt>
                <c:pt idx="460">
                  <c:v>17.294371725806499</c:v>
                </c:pt>
                <c:pt idx="461">
                  <c:v>16.873470761682871</c:v>
                </c:pt>
                <c:pt idx="462">
                  <c:v>#N/A</c:v>
                </c:pt>
                <c:pt idx="463">
                  <c:v>16.681439730273727</c:v>
                </c:pt>
                <c:pt idx="464">
                  <c:v>20.425515875620455</c:v>
                </c:pt>
                <c:pt idx="465">
                  <c:v>17.239910642204986</c:v>
                </c:pt>
                <c:pt idx="466">
                  <c:v>14.330384711613211</c:v>
                </c:pt>
                <c:pt idx="467">
                  <c:v>16.983563484527938</c:v>
                </c:pt>
                <c:pt idx="468">
                  <c:v>22.696192637674248</c:v>
                </c:pt>
                <c:pt idx="469">
                  <c:v>16.859063313874554</c:v>
                </c:pt>
                <c:pt idx="470">
                  <c:v>20.224428963421914</c:v>
                </c:pt>
                <c:pt idx="471">
                  <c:v>22.963044854137152</c:v>
                </c:pt>
                <c:pt idx="472">
                  <c:v>23.724068654349175</c:v>
                </c:pt>
                <c:pt idx="473">
                  <c:v>15.505373915505142</c:v>
                </c:pt>
                <c:pt idx="474">
                  <c:v>20.402485288182632</c:v>
                </c:pt>
                <c:pt idx="475">
                  <c:v>20.599079533771693</c:v>
                </c:pt>
                <c:pt idx="476">
                  <c:v>20.7963744615599</c:v>
                </c:pt>
                <c:pt idx="477">
                  <c:v>21.629403832537491</c:v>
                </c:pt>
                <c:pt idx="478">
                  <c:v>22.37946822918742</c:v>
                </c:pt>
                <c:pt idx="479">
                  <c:v>#N/A</c:v>
                </c:pt>
                <c:pt idx="480">
                  <c:v>23.885282076524437</c:v>
                </c:pt>
                <c:pt idx="481">
                  <c:v>21.71584671697747</c:v>
                </c:pt>
                <c:pt idx="482">
                  <c:v>17.83506071598724</c:v>
                </c:pt>
                <c:pt idx="483">
                  <c:v>16.976396372089056</c:v>
                </c:pt>
                <c:pt idx="484">
                  <c:v>22.59840212345674</c:v>
                </c:pt>
                <c:pt idx="485">
                  <c:v>16.347344738931767</c:v>
                </c:pt>
                <c:pt idx="486">
                  <c:v>19.922807379101148</c:v>
                </c:pt>
                <c:pt idx="487">
                  <c:v>12.638276730269567</c:v>
                </c:pt>
                <c:pt idx="488">
                  <c:v>18.086402093164445</c:v>
                </c:pt>
                <c:pt idx="489">
                  <c:v>17.374840782551029</c:v>
                </c:pt>
                <c:pt idx="490">
                  <c:v>23.206809849197878</c:v>
                </c:pt>
                <c:pt idx="491">
                  <c:v>21.185509046550656</c:v>
                </c:pt>
                <c:pt idx="492">
                  <c:v>18.450393352135176</c:v>
                </c:pt>
                <c:pt idx="493">
                  <c:v>19.321654267641168</c:v>
                </c:pt>
                <c:pt idx="494">
                  <c:v>22.867625923428022</c:v>
                </c:pt>
                <c:pt idx="495">
                  <c:v>13.198945962719863</c:v>
                </c:pt>
                <c:pt idx="496">
                  <c:v>22.430557967157139</c:v>
                </c:pt>
                <c:pt idx="497">
                  <c:v>12.971333836281552</c:v>
                </c:pt>
                <c:pt idx="498">
                  <c:v>16.221938096447559</c:v>
                </c:pt>
                <c:pt idx="499">
                  <c:v>17.057920720725342</c:v>
                </c:pt>
                <c:pt idx="500">
                  <c:v>22.286257390270102</c:v>
                </c:pt>
                <c:pt idx="501">
                  <c:v>#N/A</c:v>
                </c:pt>
                <c:pt idx="502">
                  <c:v>18.357700643837369</c:v>
                </c:pt>
                <c:pt idx="503">
                  <c:v>18.928810114940045</c:v>
                </c:pt>
                <c:pt idx="504">
                  <c:v>20.590518603246132</c:v>
                </c:pt>
                <c:pt idx="505">
                  <c:v>19.165062581023182</c:v>
                </c:pt>
                <c:pt idx="506">
                  <c:v>18.59887860634641</c:v>
                </c:pt>
                <c:pt idx="507">
                  <c:v>15.72952493493429</c:v>
                </c:pt>
                <c:pt idx="508">
                  <c:v>16.434472641610451</c:v>
                </c:pt>
                <c:pt idx="509">
                  <c:v>15.637519785681151</c:v>
                </c:pt>
                <c:pt idx="510">
                  <c:v>22.722223278033397</c:v>
                </c:pt>
                <c:pt idx="511">
                  <c:v>23.131186117451378</c:v>
                </c:pt>
                <c:pt idx="512">
                  <c:v>21.138567901446734</c:v>
                </c:pt>
                <c:pt idx="513">
                  <c:v>0</c:v>
                </c:pt>
                <c:pt idx="514">
                  <c:v>0</c:v>
                </c:pt>
                <c:pt idx="515">
                  <c:v>0</c:v>
                </c:pt>
                <c:pt idx="516">
                  <c:v>21.957512849155059</c:v>
                </c:pt>
                <c:pt idx="517">
                  <c:v>19.077975442395566</c:v>
                </c:pt>
                <c:pt idx="518">
                  <c:v>19.71638304850811</c:v>
                </c:pt>
                <c:pt idx="519">
                  <c:v>22.376667620552041</c:v>
                </c:pt>
                <c:pt idx="520">
                  <c:v>21.482148641532813</c:v>
                </c:pt>
                <c:pt idx="521">
                  <c:v>16.698794522264471</c:v>
                </c:pt>
                <c:pt idx="522">
                  <c:v>18.142714979912846</c:v>
                </c:pt>
                <c:pt idx="523">
                  <c:v>23.206006305203903</c:v>
                </c:pt>
                <c:pt idx="524">
                  <c:v>18.550498709850714</c:v>
                </c:pt>
                <c:pt idx="525">
                  <c:v>12.298083813681217</c:v>
                </c:pt>
                <c:pt idx="526">
                  <c:v>18.682336111453719</c:v>
                </c:pt>
                <c:pt idx="527">
                  <c:v>13.615752959325247</c:v>
                </c:pt>
                <c:pt idx="528">
                  <c:v>22.620453604179922</c:v>
                </c:pt>
                <c:pt idx="529">
                  <c:v>12.359734204802692</c:v>
                </c:pt>
                <c:pt idx="530">
                  <c:v>13.849236075300846</c:v>
                </c:pt>
                <c:pt idx="531">
                  <c:v>21.26144387648425</c:v>
                </c:pt>
                <c:pt idx="534">
                  <c:v>15.935855920799538</c:v>
                </c:pt>
                <c:pt idx="535">
                  <c:v>17.641074504324909</c:v>
                </c:pt>
                <c:pt idx="536">
                  <c:v>16.1911658543907</c:v>
                </c:pt>
                <c:pt idx="537">
                  <c:v>16.283975291708582</c:v>
                </c:pt>
                <c:pt idx="538">
                  <c:v>21.369727018481385</c:v>
                </c:pt>
                <c:pt idx="539">
                  <c:v>17.049259155265826</c:v>
                </c:pt>
                <c:pt idx="540">
                  <c:v>15.690298424362579</c:v>
                </c:pt>
                <c:pt idx="541">
                  <c:v>16.381987188699167</c:v>
                </c:pt>
                <c:pt idx="542">
                  <c:v>13.685109381245713</c:v>
                </c:pt>
                <c:pt idx="543">
                  <c:v>19.118129122639335</c:v>
                </c:pt>
                <c:pt idx="544">
                  <c:v>19.066190367050304</c:v>
                </c:pt>
                <c:pt idx="545">
                  <c:v>19.617979258457169</c:v>
                </c:pt>
                <c:pt idx="546">
                  <c:v>14.532396513107514</c:v>
                </c:pt>
                <c:pt idx="547">
                  <c:v>13.339466087458778</c:v>
                </c:pt>
                <c:pt idx="548">
                  <c:v>16.275340611087433</c:v>
                </c:pt>
                <c:pt idx="549">
                  <c:v>17.278891430402123</c:v>
                </c:pt>
                <c:pt idx="550">
                  <c:v>14.535524552700211</c:v>
                </c:pt>
                <c:pt idx="551">
                  <c:v>17.503351190148361</c:v>
                </c:pt>
                <c:pt idx="552">
                  <c:v>16.764758181792654</c:v>
                </c:pt>
                <c:pt idx="553">
                  <c:v>18.321202542638211</c:v>
                </c:pt>
                <c:pt idx="554">
                  <c:v>17.29292993917419</c:v>
                </c:pt>
                <c:pt idx="555">
                  <c:v>15.933844829866654</c:v>
                </c:pt>
                <c:pt idx="556">
                  <c:v>13.467860311701827</c:v>
                </c:pt>
                <c:pt idx="557">
                  <c:v>17.621338506397283</c:v>
                </c:pt>
                <c:pt idx="558">
                  <c:v>17.266224352089349</c:v>
                </c:pt>
                <c:pt idx="559">
                  <c:v>13.563134392166562</c:v>
                </c:pt>
                <c:pt idx="560">
                  <c:v>13.977524367664284</c:v>
                </c:pt>
                <c:pt idx="561">
                  <c:v>20.640348191921433</c:v>
                </c:pt>
                <c:pt idx="562">
                  <c:v>17.263483309119145</c:v>
                </c:pt>
                <c:pt idx="563">
                  <c:v>17.956744989221868</c:v>
                </c:pt>
                <c:pt idx="564">
                  <c:v>16.290705634512477</c:v>
                </c:pt>
                <c:pt idx="565">
                  <c:v>17.292298509334657</c:v>
                </c:pt>
                <c:pt idx="566">
                  <c:v>15.904122309055994</c:v>
                </c:pt>
                <c:pt idx="567">
                  <c:v>16.760487634206946</c:v>
                </c:pt>
                <c:pt idx="568">
                  <c:v>16.582514427056751</c:v>
                </c:pt>
                <c:pt idx="569">
                  <c:v>12.471946717205416</c:v>
                </c:pt>
                <c:pt idx="570">
                  <c:v>14.836529434962928</c:v>
                </c:pt>
                <c:pt idx="571">
                  <c:v>20.116804528240294</c:v>
                </c:pt>
                <c:pt idx="572">
                  <c:v>15.450154010388381</c:v>
                </c:pt>
                <c:pt idx="573">
                  <c:v>15.609301789009889</c:v>
                </c:pt>
                <c:pt idx="574">
                  <c:v>18.063442707558952</c:v>
                </c:pt>
                <c:pt idx="575">
                  <c:v>20.748543691658973</c:v>
                </c:pt>
                <c:pt idx="576">
                  <c:v>13.554684450159955</c:v>
                </c:pt>
                <c:pt idx="577">
                  <c:v>12.65512382538591</c:v>
                </c:pt>
                <c:pt idx="578">
                  <c:v>13.69372025505599</c:v>
                </c:pt>
                <c:pt idx="579">
                  <c:v>21.743640013201329</c:v>
                </c:pt>
                <c:pt idx="580">
                  <c:v>20.77122116159741</c:v>
                </c:pt>
                <c:pt idx="581">
                  <c:v>22.974479070484797</c:v>
                </c:pt>
                <c:pt idx="582">
                  <c:v>21.322568601040395</c:v>
                </c:pt>
                <c:pt idx="583">
                  <c:v>18.132392523319453</c:v>
                </c:pt>
                <c:pt idx="584">
                  <c:v>20.469505328318355</c:v>
                </c:pt>
                <c:pt idx="585">
                  <c:v>13.459567610744221</c:v>
                </c:pt>
                <c:pt idx="586">
                  <c:v>23.669653803407975</c:v>
                </c:pt>
                <c:pt idx="587">
                  <c:v>22.314743656110537</c:v>
                </c:pt>
                <c:pt idx="588">
                  <c:v>18.989620151152092</c:v>
                </c:pt>
                <c:pt idx="589">
                  <c:v>15.801685574191833</c:v>
                </c:pt>
                <c:pt idx="590">
                  <c:v>19.394228032451178</c:v>
                </c:pt>
                <c:pt idx="591">
                  <c:v>16.303201982712451</c:v>
                </c:pt>
                <c:pt idx="592">
                  <c:v>15.844015313859927</c:v>
                </c:pt>
                <c:pt idx="593">
                  <c:v>15.91066483374096</c:v>
                </c:pt>
                <c:pt idx="594">
                  <c:v>19.030274642084805</c:v>
                </c:pt>
                <c:pt idx="595">
                  <c:v>16.05484799915029</c:v>
                </c:pt>
                <c:pt idx="596">
                  <c:v>16.739993609159804</c:v>
                </c:pt>
                <c:pt idx="597">
                  <c:v>18.841483917424384</c:v>
                </c:pt>
                <c:pt idx="598">
                  <c:v>14.802609354010023</c:v>
                </c:pt>
                <c:pt idx="599">
                  <c:v>16.610085272885797</c:v>
                </c:pt>
                <c:pt idx="600">
                  <c:v>16.596047894421847</c:v>
                </c:pt>
                <c:pt idx="601">
                  <c:v>14.921210717013363</c:v>
                </c:pt>
                <c:pt idx="602">
                  <c:v>21.890735485328232</c:v>
                </c:pt>
                <c:pt idx="603">
                  <c:v>12.968682900487995</c:v>
                </c:pt>
                <c:pt idx="604">
                  <c:v>14.879468423184827</c:v>
                </c:pt>
                <c:pt idx="605">
                  <c:v>22.237291909039868</c:v>
                </c:pt>
                <c:pt idx="606">
                  <c:v>#N/A</c:v>
                </c:pt>
                <c:pt idx="607">
                  <c:v>26.300399560230186</c:v>
                </c:pt>
                <c:pt idx="608">
                  <c:v>24.325960237013781</c:v>
                </c:pt>
                <c:pt idx="609">
                  <c:v>14.313104309210736</c:v>
                </c:pt>
                <c:pt idx="610">
                  <c:v>16.514215828196235</c:v>
                </c:pt>
                <c:pt idx="611">
                  <c:v>18.220443213195917</c:v>
                </c:pt>
                <c:pt idx="612">
                  <c:v>16.068886808780462</c:v>
                </c:pt>
                <c:pt idx="613">
                  <c:v>15.916043554324514</c:v>
                </c:pt>
                <c:pt idx="614">
                  <c:v>19.017282542587822</c:v>
                </c:pt>
                <c:pt idx="615">
                  <c:v>19.593165655459366</c:v>
                </c:pt>
                <c:pt idx="616">
                  <c:v>24.780552858759563</c:v>
                </c:pt>
                <c:pt idx="617">
                  <c:v>19.37462747082532</c:v>
                </c:pt>
                <c:pt idx="618">
                  <c:v>21.708617180730933</c:v>
                </c:pt>
                <c:pt idx="619">
                  <c:v>20.808176883995376</c:v>
                </c:pt>
                <c:pt idx="620">
                  <c:v>21.960515324051698</c:v>
                </c:pt>
                <c:pt idx="621">
                  <c:v>21.48896264836501</c:v>
                </c:pt>
                <c:pt idx="622">
                  <c:v>18.7540654786362</c:v>
                </c:pt>
                <c:pt idx="623">
                  <c:v>13.374673526837347</c:v>
                </c:pt>
                <c:pt idx="624">
                  <c:v>21.351964526051486</c:v>
                </c:pt>
                <c:pt idx="625">
                  <c:v>21.85676901604355</c:v>
                </c:pt>
                <c:pt idx="626">
                  <c:v>18.459084010179222</c:v>
                </c:pt>
                <c:pt idx="627">
                  <c:v>18.087158211122276</c:v>
                </c:pt>
                <c:pt idx="628">
                  <c:v>21.149270943443028</c:v>
                </c:pt>
                <c:pt idx="629">
                  <c:v>18.207321939315069</c:v>
                </c:pt>
                <c:pt idx="630">
                  <c:v>18.87280992654545</c:v>
                </c:pt>
                <c:pt idx="631">
                  <c:v>23.62441949413369</c:v>
                </c:pt>
                <c:pt idx="632">
                  <c:v>21.641170962949843</c:v>
                </c:pt>
                <c:pt idx="633">
                  <c:v>21.097440732434979</c:v>
                </c:pt>
                <c:pt idx="634">
                  <c:v>21.903680189857099</c:v>
                </c:pt>
                <c:pt idx="635">
                  <c:v>25.568568987572505</c:v>
                </c:pt>
                <c:pt idx="636">
                  <c:v>23.046678448518136</c:v>
                </c:pt>
                <c:pt idx="637">
                  <c:v>18.358592638995844</c:v>
                </c:pt>
                <c:pt idx="638">
                  <c:v>22.603007227793107</c:v>
                </c:pt>
                <c:pt idx="639">
                  <c:v>17.55169782531221</c:v>
                </c:pt>
                <c:pt idx="640">
                  <c:v>22.245107877152584</c:v>
                </c:pt>
                <c:pt idx="641">
                  <c:v>12.295419315796964</c:v>
                </c:pt>
                <c:pt idx="642">
                  <c:v>20.797022307308836</c:v>
                </c:pt>
                <c:pt idx="643">
                  <c:v>21.6610417402336</c:v>
                </c:pt>
                <c:pt idx="644">
                  <c:v>19.42385616798591</c:v>
                </c:pt>
                <c:pt idx="645">
                  <c:v>20.875741315936533</c:v>
                </c:pt>
                <c:pt idx="646">
                  <c:v>22.000362076088777</c:v>
                </c:pt>
                <c:pt idx="647">
                  <c:v>16.677566234690406</c:v>
                </c:pt>
                <c:pt idx="648">
                  <c:v>21.125264602577047</c:v>
                </c:pt>
                <c:pt idx="649">
                  <c:v>19.550438150827393</c:v>
                </c:pt>
                <c:pt idx="650">
                  <c:v>20.205772686948485</c:v>
                </c:pt>
                <c:pt idx="651">
                  <c:v>16.391774160293952</c:v>
                </c:pt>
                <c:pt idx="652">
                  <c:v>17.58889893144336</c:v>
                </c:pt>
                <c:pt idx="653">
                  <c:v>13.636704567218603</c:v>
                </c:pt>
                <c:pt idx="654">
                  <c:v>19.281442185671747</c:v>
                </c:pt>
                <c:pt idx="655">
                  <c:v>22.573675863052905</c:v>
                </c:pt>
                <c:pt idx="656">
                  <c:v>22.515750558582273</c:v>
                </c:pt>
                <c:pt idx="657">
                  <c:v>20.475159642510086</c:v>
                </c:pt>
                <c:pt idx="658">
                  <c:v>19.812005403248644</c:v>
                </c:pt>
                <c:pt idx="659">
                  <c:v>18.668100713324609</c:v>
                </c:pt>
                <c:pt idx="660">
                  <c:v>18.767099821895762</c:v>
                </c:pt>
                <c:pt idx="661">
                  <c:v>25.252940296099297</c:v>
                </c:pt>
                <c:pt idx="662">
                  <c:v>14.545972133853729</c:v>
                </c:pt>
                <c:pt idx="663">
                  <c:v>25.818248321352755</c:v>
                </c:pt>
                <c:pt idx="664">
                  <c:v>21.603978445214853</c:v>
                </c:pt>
                <c:pt idx="665">
                  <c:v>24.270731104294132</c:v>
                </c:pt>
                <c:pt idx="666">
                  <c:v>19.325076750486861</c:v>
                </c:pt>
                <c:pt idx="667">
                  <c:v>24.262212417466557</c:v>
                </c:pt>
                <c:pt idx="668">
                  <c:v>24.015506746219735</c:v>
                </c:pt>
                <c:pt idx="669">
                  <c:v>18.40040754333813</c:v>
                </c:pt>
                <c:pt idx="670">
                  <c:v>19.797009326378909</c:v>
                </c:pt>
                <c:pt idx="671">
                  <c:v>20.073728881598424</c:v>
                </c:pt>
                <c:pt idx="672">
                  <c:v>27.00044904499984</c:v>
                </c:pt>
                <c:pt idx="673">
                  <c:v>28.277348891258384</c:v>
                </c:pt>
                <c:pt idx="674">
                  <c:v>18.700039699065535</c:v>
                </c:pt>
                <c:pt idx="675">
                  <c:v>21.532005229985703</c:v>
                </c:pt>
                <c:pt idx="676">
                  <c:v>25.161224684274622</c:v>
                </c:pt>
                <c:pt idx="677">
                  <c:v>16.653584604272563</c:v>
                </c:pt>
                <c:pt idx="678">
                  <c:v>8.591048870862247</c:v>
                </c:pt>
                <c:pt idx="679">
                  <c:v>23.005003877956959</c:v>
                </c:pt>
                <c:pt idx="680">
                  <c:v>13.228734155264018</c:v>
                </c:pt>
                <c:pt idx="681">
                  <c:v>1.2309815506483683</c:v>
                </c:pt>
                <c:pt idx="682">
                  <c:v>22.798079269822775</c:v>
                </c:pt>
                <c:pt idx="683">
                  <c:v>17.161153667800914</c:v>
                </c:pt>
              </c:numCache>
            </c:numRef>
          </c:yVal>
          <c:smooth val="0"/>
          <c:extLst>
            <c:ext xmlns:c16="http://schemas.microsoft.com/office/drawing/2014/chart" uri="{C3380CC4-5D6E-409C-BE32-E72D297353CC}">
              <c16:uniqueId val="{00000000-CC46-4B1E-8167-E1446EEA951B}"/>
            </c:ext>
          </c:extLst>
        </c:ser>
        <c:dLbls>
          <c:showLegendKey val="0"/>
          <c:showVal val="0"/>
          <c:showCatName val="0"/>
          <c:showSerName val="0"/>
          <c:showPercent val="0"/>
          <c:showBubbleSize val="0"/>
        </c:dLbls>
        <c:axId val="380104696"/>
        <c:axId val="394377592"/>
      </c:scatterChart>
      <c:valAx>
        <c:axId val="380104696"/>
        <c:scaling>
          <c:logBase val="10"/>
          <c:orientation val="minMax"/>
          <c:max val="3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Frequency (GHz)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377592"/>
        <c:crossesAt val="0"/>
        <c:crossBetween val="midCat"/>
      </c:valAx>
      <c:valAx>
        <c:axId val="394377592"/>
        <c:scaling>
          <c:orientation val="minMax"/>
          <c:max val="30"/>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FOM (dB)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0104696"/>
        <c:crossesAt val="0.1"/>
        <c:crossBetween val="midCat"/>
      </c:valAx>
      <c:spPr>
        <a:noFill/>
        <a:ln w="25400">
          <a:noFill/>
        </a:ln>
        <a:effectLst/>
      </c:spPr>
    </c:plotArea>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112"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112"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112"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zoomScale="112"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sheetViews>
    <sheetView zoomScale="11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57545" cy="6276295"/>
    <xdr:graphicFrame macro="">
      <xdr:nvGraphicFramePr>
        <xdr:cNvPr id="2" name="Chart 1">
          <a:extLst>
            <a:ext uri="{FF2B5EF4-FFF2-40B4-BE49-F238E27FC236}">
              <a16:creationId xmlns:a16="http://schemas.microsoft.com/office/drawing/2014/main" id="{8D8D107D-D1D3-4D05-9C17-1AC8D0AA905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7545" cy="6276295"/>
    <xdr:graphicFrame macro="">
      <xdr:nvGraphicFramePr>
        <xdr:cNvPr id="2" name="Chart 1">
          <a:extLst>
            <a:ext uri="{FF2B5EF4-FFF2-40B4-BE49-F238E27FC236}">
              <a16:creationId xmlns:a16="http://schemas.microsoft.com/office/drawing/2014/main" id="{728E34D0-0A36-4DAF-B1DA-6E12926579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7545" cy="6276295"/>
    <xdr:graphicFrame macro="">
      <xdr:nvGraphicFramePr>
        <xdr:cNvPr id="2" name="Chart 1">
          <a:extLst>
            <a:ext uri="{FF2B5EF4-FFF2-40B4-BE49-F238E27FC236}">
              <a16:creationId xmlns:a16="http://schemas.microsoft.com/office/drawing/2014/main" id="{FBCD59F9-6678-4D66-B5DF-C84DDE5FCA1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7545" cy="6276295"/>
    <xdr:graphicFrame macro="">
      <xdr:nvGraphicFramePr>
        <xdr:cNvPr id="2" name="Chart 1">
          <a:extLst>
            <a:ext uri="{FF2B5EF4-FFF2-40B4-BE49-F238E27FC236}">
              <a16:creationId xmlns:a16="http://schemas.microsoft.com/office/drawing/2014/main" id="{4C6B7793-9549-472F-8176-0845C99659C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7545" cy="6276295"/>
    <xdr:graphicFrame macro="">
      <xdr:nvGraphicFramePr>
        <xdr:cNvPr id="2" name="Chart 1">
          <a:extLst>
            <a:ext uri="{FF2B5EF4-FFF2-40B4-BE49-F238E27FC236}">
              <a16:creationId xmlns:a16="http://schemas.microsoft.com/office/drawing/2014/main" id="{C1F059F9-2172-4E34-BD49-0B615AAEDF2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editAs="oneCell">
    <xdr:from>
      <xdr:col>4</xdr:col>
      <xdr:colOff>133350</xdr:colOff>
      <xdr:row>10</xdr:row>
      <xdr:rowOff>9525</xdr:rowOff>
    </xdr:from>
    <xdr:to>
      <xdr:col>12</xdr:col>
      <xdr:colOff>294598</xdr:colOff>
      <xdr:row>39</xdr:row>
      <xdr:rowOff>189787</xdr:rowOff>
    </xdr:to>
    <xdr:pic>
      <xdr:nvPicPr>
        <xdr:cNvPr id="2" name="Picture 1">
          <a:extLst>
            <a:ext uri="{FF2B5EF4-FFF2-40B4-BE49-F238E27FC236}">
              <a16:creationId xmlns:a16="http://schemas.microsoft.com/office/drawing/2014/main" id="{806B520D-639C-445D-A858-47733D918997}"/>
            </a:ext>
          </a:extLst>
        </xdr:cNvPr>
        <xdr:cNvPicPr>
          <a:picLocks noChangeAspect="1"/>
        </xdr:cNvPicPr>
      </xdr:nvPicPr>
      <xdr:blipFill>
        <a:blip xmlns:r="http://schemas.openxmlformats.org/officeDocument/2006/relationships" r:embed="rId1"/>
        <a:stretch>
          <a:fillRect/>
        </a:stretch>
      </xdr:blipFill>
      <xdr:spPr>
        <a:xfrm>
          <a:off x="3171825" y="2133600"/>
          <a:ext cx="5419048" cy="57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47625</xdr:colOff>
      <xdr:row>26</xdr:row>
      <xdr:rowOff>176212</xdr:rowOff>
    </xdr:from>
    <xdr:ext cx="1967655" cy="273986"/>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57225" y="6843712"/>
              <a:ext cx="1967655" cy="273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i="1">
                  <a:latin typeface="Cambria Math" panose="02040503050406030204" pitchFamily="18" charset="0"/>
                  <a:ea typeface="Cambria Math" panose="02040503050406030204" pitchFamily="18" charset="0"/>
                </a:rPr>
                <a:t>FOM10= </a:t>
              </a:r>
              <a14:m>
                <m:oMath xmlns:m="http://schemas.openxmlformats.org/officeDocument/2006/math">
                  <m:f>
                    <m:fPr>
                      <m:ctrlPr>
                        <a:rPr lang="en-CA" sz="1100" i="1">
                          <a:latin typeface="Cambria Math" panose="02040503050406030204" pitchFamily="18" charset="0"/>
                        </a:rPr>
                      </m:ctrlPr>
                    </m:fPr>
                    <m:num>
                      <m:r>
                        <a:rPr lang="en-CA" sz="1100" b="0" i="1">
                          <a:latin typeface="Cambria Math" panose="02040503050406030204" pitchFamily="18" charset="0"/>
                        </a:rPr>
                        <m:t>𝑂𝐼𝑃</m:t>
                      </m:r>
                      <m:r>
                        <a:rPr lang="en-CA" sz="1100" b="0" i="1">
                          <a:latin typeface="Cambria Math" panose="02040503050406030204" pitchFamily="18" charset="0"/>
                        </a:rPr>
                        <m:t>3</m:t>
                      </m:r>
                      <m:d>
                        <m:dPr>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r>
                        <a:rPr lang="en-CA" sz="1100" b="0" i="1">
                          <a:latin typeface="Cambria Math" panose="02040503050406030204" pitchFamily="18" charset="0"/>
                        </a:rPr>
                        <m:t>𝐹𝑟𝑒𝑞𝑢𝑒𝑛𝑐𝑦</m:t>
                      </m:r>
                      <m:r>
                        <a:rPr lang="en-CA" sz="1100" b="0" i="1">
                          <a:latin typeface="Cambria Math" panose="02040503050406030204" pitchFamily="18" charset="0"/>
                        </a:rPr>
                        <m:t>(</m:t>
                      </m:r>
                      <m:r>
                        <a:rPr lang="en-CA" sz="1100" b="0" i="1">
                          <a:latin typeface="Cambria Math" panose="02040503050406030204" pitchFamily="18" charset="0"/>
                        </a:rPr>
                        <m:t>𝐺h𝑧</m:t>
                      </m:r>
                      <m:r>
                        <a:rPr lang="en-CA" sz="1100" b="0" i="1">
                          <a:latin typeface="Cambria Math" panose="02040503050406030204" pitchFamily="18" charset="0"/>
                        </a:rPr>
                        <m:t>)</m:t>
                      </m:r>
                    </m:num>
                    <m:den>
                      <m:d>
                        <m:dPr>
                          <m:ctrlPr>
                            <a:rPr lang="en-CA" sz="1100" b="0" i="1">
                              <a:latin typeface="Cambria Math" panose="02040503050406030204" pitchFamily="18" charset="0"/>
                            </a:rPr>
                          </m:ctrlPr>
                        </m:dPr>
                        <m:e>
                          <m:r>
                            <a:rPr lang="en-CA" sz="1100" b="0" i="1">
                              <a:latin typeface="Cambria Math" panose="02040503050406030204" pitchFamily="18" charset="0"/>
                            </a:rPr>
                            <m:t>𝑁𝐹</m:t>
                          </m:r>
                          <m:r>
                            <a:rPr lang="en-CA" sz="1100" b="0" i="1">
                              <a:latin typeface="Cambria Math" panose="02040503050406030204" pitchFamily="18" charset="0"/>
                            </a:rPr>
                            <m:t>−1</m:t>
                          </m:r>
                        </m:e>
                      </m:d>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a14:m>
              <a:endParaRPr lang="en-CA" sz="1100"/>
            </a:p>
          </xdr:txBody>
        </xdr:sp>
      </mc:Choice>
      <mc:Fallback xmlns="">
        <xdr:sp macro="" textlink="">
          <xdr:nvSpPr>
            <xdr:cNvPr id="4" name="TextBox 3">
              <a:extLst>
                <a:ext uri="{FF2B5EF4-FFF2-40B4-BE49-F238E27FC236}">
                  <a16:creationId xmlns:a16="http://schemas.microsoft.com/office/drawing/2014/main" id="{F6F163F3-AB28-4B3D-A4D0-E2E425505D23}"/>
                </a:ext>
              </a:extLst>
            </xdr:cNvPr>
            <xdr:cNvSpPr txBox="1"/>
          </xdr:nvSpPr>
          <xdr:spPr>
            <a:xfrm>
              <a:off x="657225" y="6843712"/>
              <a:ext cx="1967655" cy="273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i="1">
                  <a:latin typeface="Cambria Math" panose="02040503050406030204" pitchFamily="18" charset="0"/>
                  <a:ea typeface="Cambria Math" panose="02040503050406030204" pitchFamily="18" charset="0"/>
                </a:rPr>
                <a:t>FOM10= </a:t>
              </a:r>
              <a:r>
                <a:rPr lang="en-CA" sz="1100" i="0">
                  <a:latin typeface="Cambria Math" panose="02040503050406030204" pitchFamily="18" charset="0"/>
                </a:rPr>
                <a:t>(</a:t>
              </a:r>
              <a:r>
                <a:rPr lang="en-CA" sz="1100" b="0" i="0">
                  <a:latin typeface="Cambria Math" panose="02040503050406030204" pitchFamily="18" charset="0"/>
                </a:rPr>
                <a:t>𝑂𝐼𝑃3(𝑚𝑊)∗𝐹𝑟𝑒𝑞𝑢𝑒𝑛𝑐𝑦(𝐺ℎ𝑧))/((𝑁𝐹−1) 𝑃_𝑑𝑐 (𝑚𝑊))</a:t>
              </a:r>
              <a:endParaRPr lang="en-CA" sz="1100"/>
            </a:p>
          </xdr:txBody>
        </xdr:sp>
      </mc:Fallback>
    </mc:AlternateContent>
    <xdr:clientData/>
  </xdr:oneCellAnchor>
  <xdr:oneCellAnchor>
    <xdr:from>
      <xdr:col>0</xdr:col>
      <xdr:colOff>409575</xdr:colOff>
      <xdr:row>38</xdr:row>
      <xdr:rowOff>119062</xdr:rowOff>
    </xdr:from>
    <xdr:ext cx="3142078" cy="358560"/>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409575" y="7358062"/>
              <a:ext cx="3142078"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15= </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r>
                          <a:rPr lang="en-CA" sz="1100" b="0" i="1">
                            <a:latin typeface="Cambria Math" panose="02040503050406030204" pitchFamily="18" charset="0"/>
                          </a:rPr>
                          <m:t>𝑙𝑖𝑛𝑒𝑎𝑟</m:t>
                        </m:r>
                        <m:r>
                          <a:rPr lang="en-CA" sz="1100" b="0" i="1">
                            <a:latin typeface="Cambria Math" panose="02040503050406030204" pitchFamily="18" charset="0"/>
                          </a:rPr>
                          <m:t>)∗</m:t>
                        </m:r>
                        <m:r>
                          <a:rPr lang="en-CA" sz="1100" b="0" i="1">
                            <a:latin typeface="Cambria Math" panose="02040503050406030204" pitchFamily="18" charset="0"/>
                          </a:rPr>
                          <m:t>𝑖𝑃</m:t>
                        </m:r>
                        <m:r>
                          <a:rPr lang="en-CA" sz="1100" b="0" i="1">
                            <a:latin typeface="Cambria Math" panose="02040503050406030204" pitchFamily="18" charset="0"/>
                          </a:rPr>
                          <m:t>1</m:t>
                        </m:r>
                        <m:r>
                          <a:rPr lang="en-CA" sz="1100" b="0" i="1">
                            <a:latin typeface="Cambria Math" panose="02040503050406030204" pitchFamily="18" charset="0"/>
                          </a:rPr>
                          <m:t>𝑑𝐵</m:t>
                        </m:r>
                        <m:d>
                          <m:dPr>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r>
                          <a:rPr lang="en-CA" sz="1100" b="0" i="1">
                            <a:latin typeface="Cambria Math" panose="02040503050406030204" pitchFamily="18" charset="0"/>
                          </a:rPr>
                          <m:t>𝐵𝑊</m:t>
                        </m:r>
                        <m:r>
                          <a:rPr lang="en-CA" sz="1100" b="0" i="1">
                            <a:latin typeface="Cambria Math" panose="02040503050406030204" pitchFamily="18" charset="0"/>
                          </a:rPr>
                          <m:t>(</m:t>
                        </m:r>
                        <m:r>
                          <a:rPr lang="en-CA" sz="1100" b="0" i="1">
                            <a:latin typeface="Cambria Math" panose="02040503050406030204" pitchFamily="18" charset="0"/>
                          </a:rPr>
                          <m:t>𝐺𝐻𝑧</m:t>
                        </m:r>
                        <m:r>
                          <a:rPr lang="en-CA" sz="1100" b="0" i="1">
                            <a:latin typeface="Cambria Math" panose="02040503050406030204" pitchFamily="18" charset="0"/>
                          </a:rPr>
                          <m:t>)</m:t>
                        </m:r>
                      </m:num>
                      <m:den>
                        <m:d>
                          <m:dPr>
                            <m:ctrlPr>
                              <a:rPr lang="en-CA" sz="1100" b="0" i="1">
                                <a:latin typeface="Cambria Math" panose="02040503050406030204" pitchFamily="18" charset="0"/>
                              </a:rPr>
                            </m:ctrlPr>
                          </m:dPr>
                          <m:e>
                            <m:r>
                              <a:rPr lang="en-CA" sz="1100" b="0" i="1">
                                <a:latin typeface="Cambria Math" panose="02040503050406030204" pitchFamily="18" charset="0"/>
                              </a:rPr>
                              <m:t>𝐹</m:t>
                            </m:r>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a:p>
          </xdr:txBody>
        </xdr:sp>
      </mc:Choice>
      <mc:Fallback xmlns="">
        <xdr:sp macro="" textlink="">
          <xdr:nvSpPr>
            <xdr:cNvPr id="7" name="TextBox 6">
              <a:extLst>
                <a:ext uri="{FF2B5EF4-FFF2-40B4-BE49-F238E27FC236}">
                  <a16:creationId xmlns:a16="http://schemas.microsoft.com/office/drawing/2014/main" id="{1F71C15E-528D-4061-8B6E-585172493925}"/>
                </a:ext>
              </a:extLst>
            </xdr:cNvPr>
            <xdr:cNvSpPr txBox="1"/>
          </xdr:nvSpPr>
          <xdr:spPr>
            <a:xfrm>
              <a:off x="409575" y="7358062"/>
              <a:ext cx="3142078"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𝐹𝑂𝑀15=  (𝐺𝑎𝑖𝑛(𝑙𝑖𝑛𝑒𝑎𝑟)∗𝑖𝑃1𝑑𝐵(𝑚𝑊)∗𝐵𝑊(𝐺𝐻𝑧))/((𝐹−1)∗𝑃_𝑑𝑐 (𝑚𝑊))</a:t>
              </a:r>
              <a:endParaRPr lang="en-CA" sz="1100"/>
            </a:p>
          </xdr:txBody>
        </xdr:sp>
      </mc:Fallback>
    </mc:AlternateContent>
    <xdr:clientData/>
  </xdr:oneCellAnchor>
  <xdr:oneCellAnchor>
    <xdr:from>
      <xdr:col>1</xdr:col>
      <xdr:colOff>66675</xdr:colOff>
      <xdr:row>41</xdr:row>
      <xdr:rowOff>80962</xdr:rowOff>
    </xdr:from>
    <xdr:ext cx="2507481" cy="389787"/>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676275" y="6748462"/>
              <a:ext cx="2507481" cy="3897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16=20</m:t>
                    </m:r>
                    <m:sSub>
                      <m:sSubPr>
                        <m:ctrlPr>
                          <a:rPr lang="en-CA" sz="1100" b="0" i="1">
                            <a:latin typeface="Cambria Math" panose="02040503050406030204" pitchFamily="18" charset="0"/>
                          </a:rPr>
                        </m:ctrlPr>
                      </m:sSubPr>
                      <m:e>
                        <m:r>
                          <a:rPr lang="en-CA" sz="1100" b="0" i="1">
                            <a:latin typeface="Cambria Math" panose="02040503050406030204" pitchFamily="18" charset="0"/>
                          </a:rPr>
                          <m:t>𝑙𝑜𝑔</m:t>
                        </m:r>
                      </m:e>
                      <m:sub>
                        <m:r>
                          <a:rPr lang="en-CA" sz="1100" b="0" i="1">
                            <a:latin typeface="Cambria Math" panose="02040503050406030204" pitchFamily="18" charset="0"/>
                          </a:rPr>
                          <m:t>10</m:t>
                        </m:r>
                      </m:sub>
                    </m:sSub>
                    <m:r>
                      <a:rPr lang="en-CA" sz="1100" b="0" i="1">
                        <a:latin typeface="Cambria Math" panose="02040503050406030204" pitchFamily="18" charset="0"/>
                      </a:rPr>
                      <m:t> </m:t>
                    </m:r>
                    <m:f>
                      <m:fPr>
                        <m:ctrlPr>
                          <a:rPr lang="en-CA" sz="1100" b="0" i="1">
                            <a:latin typeface="Cambria Math" panose="02040503050406030204" pitchFamily="18" charset="0"/>
                          </a:rPr>
                        </m:ctrlPr>
                      </m:fPr>
                      <m:num>
                        <m:sSub>
                          <m:sSubPr>
                            <m:ctrlPr>
                              <a:rPr lang="en-CA" sz="1100" b="0" i="1">
                                <a:latin typeface="Cambria Math" panose="02040503050406030204" pitchFamily="18" charset="0"/>
                              </a:rPr>
                            </m:ctrlPr>
                          </m:sSubPr>
                          <m:e>
                            <m:r>
                              <a:rPr lang="en-CA" sz="1100" b="0" i="1">
                                <a:latin typeface="Cambria Math" panose="02040503050406030204" pitchFamily="18" charset="0"/>
                              </a:rPr>
                              <m:t>𝑆</m:t>
                            </m:r>
                          </m:e>
                          <m:sub>
                            <m:sSub>
                              <m:sSubPr>
                                <m:ctrlPr>
                                  <a:rPr lang="en-CA" sz="1100" b="0" i="1">
                                    <a:latin typeface="Cambria Math" panose="02040503050406030204" pitchFamily="18" charset="0"/>
                                  </a:rPr>
                                </m:ctrlPr>
                              </m:sSubPr>
                              <m:e>
                                <m:r>
                                  <a:rPr lang="en-CA" sz="1100" b="0" i="1">
                                    <a:latin typeface="Cambria Math" panose="02040503050406030204" pitchFamily="18" charset="0"/>
                                  </a:rPr>
                                  <m:t>21</m:t>
                                </m:r>
                              </m:e>
                              <m:sub>
                                <m:r>
                                  <a:rPr lang="en-CA" sz="1100" b="0" i="1">
                                    <a:latin typeface="Cambria Math" panose="02040503050406030204" pitchFamily="18" charset="0"/>
                                  </a:rPr>
                                  <m:t>𝑎𝑣</m:t>
                                </m:r>
                                <m:r>
                                  <a:rPr lang="en-CA" sz="1100" b="0" i="1">
                                    <a:latin typeface="Cambria Math" panose="02040503050406030204" pitchFamily="18" charset="0"/>
                                  </a:rPr>
                                  <m:t>.</m:t>
                                </m:r>
                                <m:d>
                                  <m:dPr>
                                    <m:begChr m:val="["/>
                                    <m:endChr m:val="]"/>
                                    <m:ctrlPr>
                                      <a:rPr lang="en-CA" sz="1100" b="0" i="1">
                                        <a:latin typeface="Cambria Math" panose="02040503050406030204" pitchFamily="18" charset="0"/>
                                      </a:rPr>
                                    </m:ctrlPr>
                                  </m:dPr>
                                  <m:e>
                                    <m:r>
                                      <a:rPr lang="en-CA" sz="1100" b="0" i="1">
                                        <a:latin typeface="Cambria Math" panose="02040503050406030204" pitchFamily="18" charset="0"/>
                                      </a:rPr>
                                      <m:t>𝑙𝑖𝑛</m:t>
                                    </m:r>
                                  </m:e>
                                </m:d>
                              </m:sub>
                            </m:sSub>
                          </m:sub>
                        </m:sSub>
                        <m:sSub>
                          <m:sSubPr>
                            <m:ctrlPr>
                              <a:rPr lang="en-CA" sz="1100" b="0" i="1">
                                <a:latin typeface="Cambria Math" panose="02040503050406030204" pitchFamily="18" charset="0"/>
                              </a:rPr>
                            </m:ctrlPr>
                          </m:sSubPr>
                          <m:e>
                            <m:r>
                              <a:rPr lang="en-CA" sz="1100" b="0" i="1">
                                <a:latin typeface="Cambria Math" panose="02040503050406030204" pitchFamily="18" charset="0"/>
                              </a:rPr>
                              <m:t>𝐵𝑊</m:t>
                            </m:r>
                          </m:e>
                          <m:sub>
                            <m:r>
                              <a:rPr lang="en-CA" sz="1100" b="0" i="1">
                                <a:latin typeface="Cambria Math" panose="02040503050406030204" pitchFamily="18" charset="0"/>
                              </a:rPr>
                              <m:t>𝐺h𝑧</m:t>
                            </m:r>
                          </m:sub>
                        </m:sSub>
                      </m:num>
                      <m:den>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d>
                              <m:dPr>
                                <m:begChr m:val="["/>
                                <m:endChr m:val="]"/>
                                <m:ctrlPr>
                                  <a:rPr lang="en-CA" sz="1100" b="0" i="1">
                                    <a:latin typeface="Cambria Math" panose="02040503050406030204" pitchFamily="18" charset="0"/>
                                  </a:rPr>
                                </m:ctrlPr>
                              </m:dPr>
                              <m:e>
                                <m:r>
                                  <a:rPr lang="en-CA" sz="1100" b="0" i="1">
                                    <a:latin typeface="Cambria Math" panose="02040503050406030204" pitchFamily="18" charset="0"/>
                                  </a:rPr>
                                  <m:t>𝑚𝑊</m:t>
                                </m:r>
                              </m:e>
                            </m:d>
                          </m:sub>
                        </m:sSub>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𝐹</m:t>
                            </m:r>
                          </m:e>
                          <m:sub>
                            <m:r>
                              <a:rPr lang="en-CA" sz="1100" b="0" i="1">
                                <a:latin typeface="Cambria Math" panose="02040503050406030204" pitchFamily="18" charset="0"/>
                              </a:rPr>
                              <m:t>𝑎𝑣</m:t>
                            </m:r>
                            <m:r>
                              <a:rPr lang="en-CA" sz="1100" b="0" i="1">
                                <a:latin typeface="Cambria Math" panose="02040503050406030204" pitchFamily="18" charset="0"/>
                              </a:rPr>
                              <m:t>.</m:t>
                            </m:r>
                            <m:d>
                              <m:dPr>
                                <m:begChr m:val="["/>
                                <m:endChr m:val="]"/>
                                <m:ctrlPr>
                                  <a:rPr lang="en-CA" sz="1100" b="0" i="1">
                                    <a:latin typeface="Cambria Math" panose="02040503050406030204" pitchFamily="18" charset="0"/>
                                  </a:rPr>
                                </m:ctrlPr>
                              </m:dPr>
                              <m:e>
                                <m:r>
                                  <a:rPr lang="en-CA" sz="1100" b="0" i="1">
                                    <a:latin typeface="Cambria Math" panose="02040503050406030204" pitchFamily="18" charset="0"/>
                                  </a:rPr>
                                  <m:t>𝑙𝑖𝑛</m:t>
                                </m:r>
                              </m:e>
                            </m:d>
                          </m:sub>
                        </m:sSub>
                        <m:r>
                          <a:rPr lang="en-CA" sz="1100" b="0" i="1">
                            <a:latin typeface="Cambria Math" panose="02040503050406030204" pitchFamily="18" charset="0"/>
                          </a:rPr>
                          <m:t>−1)</m:t>
                        </m:r>
                      </m:den>
                    </m:f>
                  </m:oMath>
                </m:oMathPara>
              </a14:m>
              <a:endParaRPr lang="en-CA" sz="1100"/>
            </a:p>
          </xdr:txBody>
        </xdr:sp>
      </mc:Choice>
      <mc:Fallback xmlns="">
        <xdr:sp macro="" textlink="">
          <xdr:nvSpPr>
            <xdr:cNvPr id="9" name="TextBox 8">
              <a:extLst>
                <a:ext uri="{FF2B5EF4-FFF2-40B4-BE49-F238E27FC236}">
                  <a16:creationId xmlns:a16="http://schemas.microsoft.com/office/drawing/2014/main" id="{93FC3C66-5541-427F-8896-BD0D59C3CB6F}"/>
                </a:ext>
              </a:extLst>
            </xdr:cNvPr>
            <xdr:cNvSpPr txBox="1"/>
          </xdr:nvSpPr>
          <xdr:spPr>
            <a:xfrm>
              <a:off x="676275" y="6748462"/>
              <a:ext cx="2507481" cy="3897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𝐹𝑂𝑀16=20〖𝑙𝑜𝑔〗_10   (𝑆_(21_(𝑎𝑣.[𝑙𝑖𝑛] ) ) 〖𝐵𝑊〗_𝐺ℎ𝑧)/(𝑃_𝑑𝑐[𝑚𝑊]  (𝐹_(𝑎𝑣.[𝑙𝑖𝑛] )−1))</a:t>
              </a:r>
              <a:endParaRPr lang="en-CA" sz="1100"/>
            </a:p>
          </xdr:txBody>
        </xdr:sp>
      </mc:Fallback>
    </mc:AlternateContent>
    <xdr:clientData/>
  </xdr:oneCellAnchor>
  <xdr:oneCellAnchor>
    <xdr:from>
      <xdr:col>5</xdr:col>
      <xdr:colOff>457200</xdr:colOff>
      <xdr:row>41</xdr:row>
      <xdr:rowOff>71437</xdr:rowOff>
    </xdr:from>
    <xdr:ext cx="2894317" cy="394980"/>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3505200" y="6738937"/>
              <a:ext cx="2894317" cy="394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17=20</m:t>
                    </m:r>
                    <m:sSub>
                      <m:sSubPr>
                        <m:ctrlPr>
                          <a:rPr lang="en-CA" sz="1100" b="0" i="1">
                            <a:latin typeface="Cambria Math" panose="02040503050406030204" pitchFamily="18" charset="0"/>
                          </a:rPr>
                        </m:ctrlPr>
                      </m:sSubPr>
                      <m:e>
                        <m:r>
                          <a:rPr lang="en-CA" sz="1100" b="0" i="1">
                            <a:latin typeface="Cambria Math" panose="02040503050406030204" pitchFamily="18" charset="0"/>
                          </a:rPr>
                          <m:t>𝑙𝑜𝑔</m:t>
                        </m:r>
                      </m:e>
                      <m:sub>
                        <m:r>
                          <a:rPr lang="en-CA" sz="1100" b="0" i="1">
                            <a:latin typeface="Cambria Math" panose="02040503050406030204" pitchFamily="18" charset="0"/>
                          </a:rPr>
                          <m:t>10</m:t>
                        </m:r>
                      </m:sub>
                    </m:sSub>
                    <m:f>
                      <m:fPr>
                        <m:ctrlPr>
                          <a:rPr lang="en-CA" sz="1100" b="0" i="1">
                            <a:latin typeface="Cambria Math" panose="02040503050406030204" pitchFamily="18" charset="0"/>
                          </a:rPr>
                        </m:ctrlPr>
                      </m:fPr>
                      <m:num>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𝑆</m:t>
                            </m:r>
                          </m:e>
                          <m:sub>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21</m:t>
                                </m:r>
                              </m:e>
                              <m:sub>
                                <m:r>
                                  <a:rPr lang="en-CA" sz="1100" b="0" i="1">
                                    <a:solidFill>
                                      <a:schemeClr val="tx1"/>
                                    </a:solidFill>
                                    <a:effectLst/>
                                    <a:latin typeface="Cambria Math" panose="02040503050406030204" pitchFamily="18" charset="0"/>
                                    <a:ea typeface="+mn-ea"/>
                                    <a:cs typeface="+mn-cs"/>
                                  </a:rPr>
                                  <m:t>𝑎𝑣</m:t>
                                </m:r>
                                <m:r>
                                  <a:rPr lang="en-CA" sz="1100" b="0" i="1">
                                    <a:solidFill>
                                      <a:schemeClr val="tx1"/>
                                    </a:solidFill>
                                    <a:effectLst/>
                                    <a:latin typeface="Cambria Math" panose="02040503050406030204" pitchFamily="18" charset="0"/>
                                    <a:ea typeface="+mn-ea"/>
                                    <a:cs typeface="+mn-cs"/>
                                  </a:rPr>
                                  <m:t>.</m:t>
                                </m:r>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𝑙𝑖𝑛</m:t>
                                    </m:r>
                                  </m:e>
                                </m:d>
                              </m:sub>
                            </m:sSub>
                          </m:sub>
                        </m:sSub>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𝐵𝑊</m:t>
                            </m:r>
                          </m:e>
                          <m:sub>
                            <m:r>
                              <a:rPr lang="en-CA" sz="1100" b="0" i="1">
                                <a:solidFill>
                                  <a:schemeClr val="tx1"/>
                                </a:solidFill>
                                <a:effectLst/>
                                <a:latin typeface="Cambria Math" panose="02040503050406030204" pitchFamily="18" charset="0"/>
                                <a:ea typeface="+mn-ea"/>
                                <a:cs typeface="+mn-cs"/>
                              </a:rPr>
                              <m:t>𝐺h𝑧</m:t>
                            </m:r>
                          </m:sub>
                        </m:sSub>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𝐼𝐼𝑃</m:t>
                            </m:r>
                            <m:r>
                              <a:rPr lang="en-CA" sz="1100" b="0" i="1">
                                <a:solidFill>
                                  <a:schemeClr val="tx1"/>
                                </a:solidFill>
                                <a:effectLst/>
                                <a:latin typeface="Cambria Math" panose="02040503050406030204" pitchFamily="18" charset="0"/>
                                <a:ea typeface="+mn-ea"/>
                                <a:cs typeface="+mn-cs"/>
                              </a:rPr>
                              <m:t>3</m:t>
                            </m:r>
                          </m:e>
                          <m:sub>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𝑚𝑊</m:t>
                            </m:r>
                            <m:r>
                              <a:rPr lang="en-CA" sz="1100" b="0" i="1">
                                <a:solidFill>
                                  <a:schemeClr val="tx1"/>
                                </a:solidFill>
                                <a:effectLst/>
                                <a:latin typeface="Cambria Math" panose="02040503050406030204" pitchFamily="18" charset="0"/>
                                <a:ea typeface="+mn-ea"/>
                                <a:cs typeface="+mn-cs"/>
                              </a:rPr>
                              <m:t>]</m:t>
                            </m:r>
                          </m:sub>
                        </m:sSub>
                      </m:num>
                      <m:den>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𝑃</m:t>
                            </m:r>
                          </m:e>
                          <m:sub>
                            <m:r>
                              <a:rPr lang="en-CA" sz="1100" b="0" i="1">
                                <a:solidFill>
                                  <a:schemeClr val="tx1"/>
                                </a:solidFill>
                                <a:effectLst/>
                                <a:latin typeface="Cambria Math" panose="02040503050406030204" pitchFamily="18" charset="0"/>
                                <a:ea typeface="+mn-ea"/>
                                <a:cs typeface="+mn-cs"/>
                              </a:rPr>
                              <m:t>𝑑𝑐</m:t>
                            </m:r>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𝑚𝑊</m:t>
                                </m:r>
                              </m:e>
                            </m:d>
                          </m:sub>
                        </m:sSub>
                        <m:r>
                          <a:rPr lang="en-CA" sz="1100" b="0" i="1">
                            <a:solidFill>
                              <a:schemeClr val="tx1"/>
                            </a:solidFill>
                            <a:effectLst/>
                            <a:latin typeface="Cambria Math" panose="02040503050406030204" pitchFamily="18" charset="0"/>
                            <a:ea typeface="+mn-ea"/>
                            <a:cs typeface="+mn-cs"/>
                          </a:rPr>
                          <m:t>(</m:t>
                        </m:r>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𝐹</m:t>
                            </m:r>
                          </m:e>
                          <m:sub>
                            <m:r>
                              <a:rPr lang="en-CA" sz="1100" b="0" i="1">
                                <a:solidFill>
                                  <a:schemeClr val="tx1"/>
                                </a:solidFill>
                                <a:effectLst/>
                                <a:latin typeface="Cambria Math" panose="02040503050406030204" pitchFamily="18" charset="0"/>
                                <a:ea typeface="+mn-ea"/>
                                <a:cs typeface="+mn-cs"/>
                              </a:rPr>
                              <m:t>𝑎𝑣</m:t>
                            </m:r>
                            <m:r>
                              <a:rPr lang="en-CA" sz="1100" b="0" i="1">
                                <a:solidFill>
                                  <a:schemeClr val="tx1"/>
                                </a:solidFill>
                                <a:effectLst/>
                                <a:latin typeface="Cambria Math" panose="02040503050406030204" pitchFamily="18" charset="0"/>
                                <a:ea typeface="+mn-ea"/>
                                <a:cs typeface="+mn-cs"/>
                              </a:rPr>
                              <m:t>.</m:t>
                            </m:r>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𝑙𝑖𝑛</m:t>
                                </m:r>
                              </m:e>
                            </m:d>
                          </m:sub>
                        </m:sSub>
                        <m:r>
                          <a:rPr lang="en-CA" sz="1100" b="0" i="1">
                            <a:solidFill>
                              <a:schemeClr val="tx1"/>
                            </a:solidFill>
                            <a:effectLst/>
                            <a:latin typeface="Cambria Math" panose="02040503050406030204" pitchFamily="18" charset="0"/>
                            <a:ea typeface="+mn-ea"/>
                            <a:cs typeface="+mn-cs"/>
                          </a:rPr>
                          <m:t>−1)</m:t>
                        </m:r>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𝐴</m:t>
                            </m:r>
                          </m:e>
                          <m:sub>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𝑚</m:t>
                            </m:r>
                            <m:sSup>
                              <m:sSupPr>
                                <m:ctrlPr>
                                  <a:rPr lang="en-CA" sz="1100" b="0" i="1">
                                    <a:solidFill>
                                      <a:schemeClr val="tx1"/>
                                    </a:solidFill>
                                    <a:effectLst/>
                                    <a:latin typeface="Cambria Math" panose="02040503050406030204" pitchFamily="18" charset="0"/>
                                    <a:ea typeface="+mn-ea"/>
                                    <a:cs typeface="+mn-cs"/>
                                  </a:rPr>
                                </m:ctrlPr>
                              </m:sSupPr>
                              <m:e>
                                <m:r>
                                  <a:rPr lang="en-CA" sz="1100" b="0" i="1">
                                    <a:solidFill>
                                      <a:schemeClr val="tx1"/>
                                    </a:solidFill>
                                    <a:effectLst/>
                                    <a:latin typeface="Cambria Math" panose="02040503050406030204" pitchFamily="18" charset="0"/>
                                    <a:ea typeface="+mn-ea"/>
                                    <a:cs typeface="+mn-cs"/>
                                  </a:rPr>
                                  <m:t>𝑚</m:t>
                                </m:r>
                              </m:e>
                              <m:sup>
                                <m:r>
                                  <a:rPr lang="en-CA" sz="1100" b="0" i="1">
                                    <a:solidFill>
                                      <a:schemeClr val="tx1"/>
                                    </a:solidFill>
                                    <a:effectLst/>
                                    <a:latin typeface="Cambria Math" panose="02040503050406030204" pitchFamily="18" charset="0"/>
                                    <a:ea typeface="+mn-ea"/>
                                    <a:cs typeface="+mn-cs"/>
                                  </a:rPr>
                                  <m:t>2</m:t>
                                </m:r>
                              </m:sup>
                            </m:sSup>
                            <m:r>
                              <a:rPr lang="en-CA" sz="1100" b="0" i="1">
                                <a:solidFill>
                                  <a:schemeClr val="tx1"/>
                                </a:solidFill>
                                <a:effectLst/>
                                <a:latin typeface="Cambria Math" panose="02040503050406030204" pitchFamily="18" charset="0"/>
                                <a:ea typeface="+mn-ea"/>
                                <a:cs typeface="+mn-cs"/>
                              </a:rPr>
                              <m:t>]</m:t>
                            </m:r>
                          </m:sub>
                        </m:sSub>
                      </m:den>
                    </m:f>
                  </m:oMath>
                </m:oMathPara>
              </a14:m>
              <a:endParaRPr lang="en-CA" sz="1100"/>
            </a:p>
          </xdr:txBody>
        </xdr:sp>
      </mc:Choice>
      <mc:Fallback xmlns="">
        <xdr:sp macro="" textlink="">
          <xdr:nvSpPr>
            <xdr:cNvPr id="10" name="TextBox 9">
              <a:extLst>
                <a:ext uri="{FF2B5EF4-FFF2-40B4-BE49-F238E27FC236}">
                  <a16:creationId xmlns:a16="http://schemas.microsoft.com/office/drawing/2014/main" id="{8EB61353-B4E7-4007-BDD4-9DF8B7818BAF}"/>
                </a:ext>
              </a:extLst>
            </xdr:cNvPr>
            <xdr:cNvSpPr txBox="1"/>
          </xdr:nvSpPr>
          <xdr:spPr>
            <a:xfrm>
              <a:off x="3505200" y="6738937"/>
              <a:ext cx="2894317" cy="394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𝐹𝑂𝑀17=20〖𝑙𝑜𝑔〗_10 </a:t>
              </a:r>
              <a:r>
                <a:rPr lang="en-CA" sz="1100" b="0" i="0">
                  <a:solidFill>
                    <a:schemeClr val="tx1"/>
                  </a:solidFill>
                  <a:effectLst/>
                  <a:latin typeface="Cambria Math" panose="02040503050406030204" pitchFamily="18" charset="0"/>
                  <a:ea typeface="+mn-ea"/>
                  <a:cs typeface="+mn-cs"/>
                </a:rPr>
                <a:t> (𝑆_(21_(𝑎𝑣.[𝑙𝑖𝑛] ) ) 〖𝐵𝑊〗_𝐺ℎ𝑧 〖𝐼𝐼𝑃3〗_([𝑚𝑊]))/(𝑃_𝑑𝑐[𝑚𝑊]  (𝐹_(𝑎𝑣.[𝑙𝑖𝑛] )−1)𝐴_([𝑚𝑚^2]) )</a:t>
              </a:r>
              <a:endParaRPr lang="en-CA" sz="1100"/>
            </a:p>
          </xdr:txBody>
        </xdr:sp>
      </mc:Fallback>
    </mc:AlternateContent>
    <xdr:clientData/>
  </xdr:oneCellAnchor>
  <xdr:oneCellAnchor>
    <xdr:from>
      <xdr:col>1</xdr:col>
      <xdr:colOff>47625</xdr:colOff>
      <xdr:row>45</xdr:row>
      <xdr:rowOff>4762</xdr:rowOff>
    </xdr:from>
    <xdr:ext cx="2741841" cy="530786"/>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657225" y="7434262"/>
              <a:ext cx="2741841" cy="530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18=</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r>
                          <a:rPr lang="en-CA" sz="1100" b="0" i="1">
                            <a:latin typeface="Cambria Math" panose="02040503050406030204" pitchFamily="18" charset="0"/>
                          </a:rPr>
                          <m:t>𝑂𝑃</m:t>
                        </m:r>
                        <m:r>
                          <a:rPr lang="en-CA" sz="1100" b="0" i="1">
                            <a:latin typeface="Cambria Math" panose="02040503050406030204" pitchFamily="18" charset="0"/>
                          </a:rPr>
                          <m:t>1</m:t>
                        </m:r>
                        <m:r>
                          <a:rPr lang="en-CA" sz="1100" b="0" i="1">
                            <a:latin typeface="Cambria Math" panose="02040503050406030204" pitchFamily="18" charset="0"/>
                          </a:rPr>
                          <m:t>𝑑𝐵</m:t>
                        </m:r>
                        <m:d>
                          <m:dPr>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r>
                          <a:rPr lang="en-CA" sz="1100" b="0" i="1">
                            <a:latin typeface="Cambria Math" panose="02040503050406030204" pitchFamily="18" charset="0"/>
                          </a:rPr>
                          <m:t>𝐹𝑟𝑒𝑞</m:t>
                        </m:r>
                        <m:r>
                          <a:rPr lang="en-CA" sz="1100" b="0" i="1">
                            <a:latin typeface="Cambria Math" panose="02040503050406030204" pitchFamily="18" charset="0"/>
                          </a:rPr>
                          <m:t>(</m:t>
                        </m:r>
                        <m:r>
                          <a:rPr lang="en-CA" sz="1100" b="0" i="1">
                            <a:latin typeface="Cambria Math" panose="02040503050406030204" pitchFamily="18" charset="0"/>
                          </a:rPr>
                          <m:t>𝐺𝐻𝑧</m:t>
                        </m:r>
                        <m:r>
                          <a:rPr lang="en-CA" sz="1100" b="0" i="1">
                            <a:latin typeface="Cambria Math" panose="02040503050406030204" pitchFamily="18" charset="0"/>
                          </a:rPr>
                          <m:t>)</m:t>
                        </m:r>
                      </m:num>
                      <m:den>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d>
                          <m:dPr>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r>
                          <a:rPr lang="en-CA" sz="1100" b="0" i="1">
                            <a:latin typeface="Cambria Math" panose="02040503050406030204" pitchFamily="18" charset="0"/>
                          </a:rPr>
                          <m:t>𝑁𝐹</m:t>
                        </m:r>
                        <m:d>
                          <m:dPr>
                            <m:ctrlPr>
                              <a:rPr lang="en-CA" sz="1100" b="0" i="1">
                                <a:latin typeface="Cambria Math" panose="02040503050406030204" pitchFamily="18" charset="0"/>
                              </a:rPr>
                            </m:ctrlPr>
                          </m:dPr>
                          <m:e>
                            <m:r>
                              <a:rPr lang="en-CA" sz="1100" b="0" i="1">
                                <a:latin typeface="Cambria Math" panose="02040503050406030204" pitchFamily="18" charset="0"/>
                              </a:rPr>
                              <m:t>𝑑𝐵</m:t>
                            </m:r>
                          </m:e>
                        </m:d>
                        <m:r>
                          <a:rPr lang="en-CA" sz="1100" b="0" i="1">
                            <a:latin typeface="Cambria Math" panose="02040503050406030204" pitchFamily="18" charset="0"/>
                          </a:rPr>
                          <m:t>−1)</m:t>
                        </m:r>
                      </m:den>
                    </m:f>
                  </m:oMath>
                </m:oMathPara>
              </a14:m>
              <a:endParaRPr lang="en-CA" sz="1100" b="0"/>
            </a:p>
            <a:p>
              <a:endParaRPr lang="en-CA" sz="1100"/>
            </a:p>
          </xdr:txBody>
        </xdr:sp>
      </mc:Choice>
      <mc:Fallback xmlns="">
        <xdr:sp macro="" textlink="">
          <xdr:nvSpPr>
            <xdr:cNvPr id="11" name="TextBox 10">
              <a:extLst>
                <a:ext uri="{FF2B5EF4-FFF2-40B4-BE49-F238E27FC236}">
                  <a16:creationId xmlns:a16="http://schemas.microsoft.com/office/drawing/2014/main" id="{C920E633-5743-4FEA-BA0B-B60E9E0A1DE4}"/>
                </a:ext>
              </a:extLst>
            </xdr:cNvPr>
            <xdr:cNvSpPr txBox="1"/>
          </xdr:nvSpPr>
          <xdr:spPr>
            <a:xfrm>
              <a:off x="657225" y="7434262"/>
              <a:ext cx="2741841" cy="530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𝐹𝑂𝑀18=(𝐺𝑎𝑖𝑛∗𝑂𝑃1𝑑𝐵(𝑚𝑊)∗𝐹𝑟𝑒𝑞(𝐺𝐻𝑧))/(𝑃_𝑑𝑐 (𝑚𝑊)∗(𝑁𝐹(𝑑𝐵)−1))</a:t>
              </a:r>
              <a:endParaRPr lang="en-CA" sz="1100" b="0"/>
            </a:p>
            <a:p>
              <a:endParaRPr lang="en-CA" sz="1100"/>
            </a:p>
          </xdr:txBody>
        </xdr:sp>
      </mc:Fallback>
    </mc:AlternateContent>
    <xdr:clientData/>
  </xdr:oneCellAnchor>
  <xdr:oneCellAnchor>
    <xdr:from>
      <xdr:col>1</xdr:col>
      <xdr:colOff>57150</xdr:colOff>
      <xdr:row>48</xdr:row>
      <xdr:rowOff>19050</xdr:rowOff>
    </xdr:from>
    <xdr:ext cx="3622338" cy="358881"/>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66750" y="8020050"/>
              <a:ext cx="3622338" cy="358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19=20</m:t>
                    </m:r>
                    <m:sSub>
                      <m:sSubPr>
                        <m:ctrlPr>
                          <a:rPr lang="en-CA" sz="1100" b="0" i="1">
                            <a:latin typeface="Cambria Math" panose="02040503050406030204" pitchFamily="18" charset="0"/>
                          </a:rPr>
                        </m:ctrlPr>
                      </m:sSubPr>
                      <m:e>
                        <m:r>
                          <a:rPr lang="en-CA" sz="1100" b="0" i="1">
                            <a:latin typeface="Cambria Math" panose="02040503050406030204" pitchFamily="18" charset="0"/>
                          </a:rPr>
                          <m:t>𝑙𝑜𝑔</m:t>
                        </m:r>
                      </m:e>
                      <m:sub>
                        <m:r>
                          <a:rPr lang="en-CA" sz="1100" b="0" i="1">
                            <a:latin typeface="Cambria Math" panose="02040503050406030204" pitchFamily="18" charset="0"/>
                          </a:rPr>
                          <m:t>10</m:t>
                        </m:r>
                      </m:sub>
                    </m:sSub>
                    <m:f>
                      <m:fPr>
                        <m:ctrlPr>
                          <a:rPr lang="en-CA" sz="1100" b="0" i="1">
                            <a:latin typeface="Cambria Math" panose="02040503050406030204" pitchFamily="18" charset="0"/>
                          </a:rPr>
                        </m:ctrlPr>
                      </m:fPr>
                      <m:num>
                        <m:r>
                          <a:rPr lang="en-CA" sz="1100" b="0" i="1">
                            <a:latin typeface="Cambria Math" panose="02040503050406030204" pitchFamily="18" charset="0"/>
                          </a:rPr>
                          <m:t>𝐼𝐼𝑃</m:t>
                        </m:r>
                        <m:r>
                          <a:rPr lang="en-CA" sz="1100" b="0" i="1">
                            <a:latin typeface="Cambria Math" panose="02040503050406030204" pitchFamily="18" charset="0"/>
                          </a:rPr>
                          <m:t>3</m:t>
                        </m:r>
                        <m:d>
                          <m:dPr>
                            <m:begChr m:val="["/>
                            <m:endChr m:val="]"/>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r>
                          <a:rPr lang="en-CA" sz="1100" b="0" i="1">
                            <a:latin typeface="Cambria Math" panose="02040503050406030204" pitchFamily="18" charset="0"/>
                          </a:rPr>
                          <m:t>𝐺𝑎𝑖𝑛</m:t>
                        </m:r>
                        <m:d>
                          <m:dPr>
                            <m:begChr m:val="["/>
                            <m:endChr m:val="]"/>
                            <m:ctrlPr>
                              <a:rPr lang="en-CA" sz="1100" b="0" i="1">
                                <a:latin typeface="Cambria Math" panose="02040503050406030204" pitchFamily="18" charset="0"/>
                              </a:rPr>
                            </m:ctrlPr>
                          </m:dPr>
                          <m:e>
                            <m:r>
                              <a:rPr lang="en-CA" sz="1100" b="0" i="1">
                                <a:latin typeface="Cambria Math" panose="02040503050406030204" pitchFamily="18" charset="0"/>
                              </a:rPr>
                              <m:t>𝑙𝑖𝑛𝑒𝑎𝑟</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𝐵𝑊</m:t>
                            </m:r>
                          </m:e>
                          <m:sub>
                            <m:r>
                              <a:rPr lang="en-CA" sz="1100" b="0" i="1">
                                <a:latin typeface="Cambria Math" panose="02040503050406030204" pitchFamily="18" charset="0"/>
                              </a:rPr>
                              <m:t>3</m:t>
                            </m:r>
                            <m:r>
                              <a:rPr lang="en-CA" sz="1100" b="0" i="1">
                                <a:latin typeface="Cambria Math" panose="02040503050406030204" pitchFamily="18" charset="0"/>
                              </a:rPr>
                              <m:t>𝑑𝐵</m:t>
                            </m:r>
                          </m:sub>
                        </m:sSub>
                        <m:r>
                          <a:rPr lang="en-CA" sz="1100" b="0" i="1">
                            <a:latin typeface="Cambria Math" panose="02040503050406030204" pitchFamily="18" charset="0"/>
                          </a:rPr>
                          <m:t>[</m:t>
                        </m:r>
                        <m:r>
                          <a:rPr lang="en-CA" sz="1100" b="0" i="1">
                            <a:latin typeface="Cambria Math" panose="02040503050406030204" pitchFamily="18" charset="0"/>
                          </a:rPr>
                          <m:t>𝐺𝐻𝑧</m:t>
                        </m:r>
                        <m:r>
                          <a:rPr lang="en-CA" sz="1100" b="0" i="1">
                            <a:latin typeface="Cambria Math" panose="02040503050406030204" pitchFamily="18" charset="0"/>
                          </a:rPr>
                          <m:t>]</m:t>
                        </m:r>
                      </m:num>
                      <m:den>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d>
                          <m:dPr>
                            <m:begChr m:val="["/>
                            <m:endChr m:val="]"/>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r>
                          <a:rPr lang="en-CA" sz="1100" b="0" i="1">
                            <a:latin typeface="Cambria Math" panose="02040503050406030204" pitchFamily="18" charset="0"/>
                          </a:rPr>
                          <m:t>𝐹</m:t>
                        </m:r>
                        <m:r>
                          <a:rPr lang="en-CA" sz="1100" b="0" i="1">
                            <a:latin typeface="Cambria Math" panose="02040503050406030204" pitchFamily="18" charset="0"/>
                          </a:rPr>
                          <m:t>−1)</m:t>
                        </m:r>
                      </m:den>
                    </m:f>
                  </m:oMath>
                </m:oMathPara>
              </a14:m>
              <a:endParaRPr lang="en-CA" sz="1100"/>
            </a:p>
          </xdr:txBody>
        </xdr:sp>
      </mc:Choice>
      <mc:Fallback xmlns="">
        <xdr:sp macro="" textlink="">
          <xdr:nvSpPr>
            <xdr:cNvPr id="5" name="TextBox 4">
              <a:extLst>
                <a:ext uri="{FF2B5EF4-FFF2-40B4-BE49-F238E27FC236}">
                  <a16:creationId xmlns:a16="http://schemas.microsoft.com/office/drawing/2014/main" id="{C051E817-41C9-4062-AEDB-18F9B6AE04C3}"/>
                </a:ext>
              </a:extLst>
            </xdr:cNvPr>
            <xdr:cNvSpPr txBox="1"/>
          </xdr:nvSpPr>
          <xdr:spPr>
            <a:xfrm>
              <a:off x="666750" y="8020050"/>
              <a:ext cx="3622338" cy="358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𝐹𝑂𝑀19=20〖𝑙𝑜𝑔〗_10  (𝐼𝐼𝑃3[𝑚𝑊]∗𝐺𝑎𝑖𝑛[𝑙𝑖𝑛𝑒𝑎𝑟]∗〖𝐵𝑊〗_3𝑑𝐵 [𝐺𝐻𝑧])/(𝑃_𝑑𝑐 [𝑚𝑊]∗(𝐹−1))</a:t>
              </a:r>
              <a:endParaRPr lang="en-CA" sz="1100"/>
            </a:p>
          </xdr:txBody>
        </xdr:sp>
      </mc:Fallback>
    </mc:AlternateContent>
    <xdr:clientData/>
  </xdr:oneCellAnchor>
  <xdr:oneCellAnchor>
    <xdr:from>
      <xdr:col>1</xdr:col>
      <xdr:colOff>4762</xdr:colOff>
      <xdr:row>2</xdr:row>
      <xdr:rowOff>123825</xdr:rowOff>
    </xdr:from>
    <xdr:ext cx="1624355" cy="352469"/>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14362" y="504825"/>
              <a:ext cx="1624355"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1=</m:t>
                    </m:r>
                    <m:f>
                      <m:fPr>
                        <m:ctrlPr>
                          <a:rPr lang="en-CA" sz="1100" b="0" i="1">
                            <a:latin typeface="Cambria Math" panose="02040503050406030204" pitchFamily="18" charset="0"/>
                          </a:rPr>
                        </m:ctrlPr>
                      </m:fPr>
                      <m:num>
                        <m:r>
                          <a:rPr lang="en-CA" sz="1100" b="0" i="1">
                            <a:latin typeface="Cambria Math" panose="02040503050406030204" pitchFamily="18" charset="0"/>
                          </a:rPr>
                          <m:t>𝑂𝐼𝑃</m:t>
                        </m:r>
                        <m:r>
                          <a:rPr lang="en-CA" sz="1100" b="0" i="1">
                            <a:latin typeface="Cambria Math" panose="02040503050406030204" pitchFamily="18" charset="0"/>
                          </a:rPr>
                          <m:t>3(</m:t>
                        </m:r>
                        <m:r>
                          <a:rPr lang="en-CA" sz="1100" b="0" i="1">
                            <a:latin typeface="Cambria Math" panose="02040503050406030204" pitchFamily="18" charset="0"/>
                          </a:rPr>
                          <m:t>𝑚𝑊</m:t>
                        </m:r>
                        <m:r>
                          <a:rPr lang="en-CA" sz="1100" b="0" i="1">
                            <a:latin typeface="Cambria Math" panose="02040503050406030204" pitchFamily="18" charset="0"/>
                          </a:rPr>
                          <m:t>)</m:t>
                        </m:r>
                      </m:num>
                      <m:den>
                        <m:r>
                          <a:rPr lang="en-CA" sz="1100" b="0" i="1">
                            <a:latin typeface="Cambria Math" panose="02040503050406030204" pitchFamily="18" charset="0"/>
                          </a:rPr>
                          <m:t>(</m:t>
                        </m:r>
                        <m:r>
                          <a:rPr lang="en-CA" sz="1100" b="0" i="1">
                            <a:latin typeface="Cambria Math" panose="02040503050406030204" pitchFamily="18" charset="0"/>
                          </a:rPr>
                          <m:t>𝐹</m:t>
                        </m:r>
                        <m:r>
                          <a:rPr lang="en-CA" sz="1100" b="0" i="1">
                            <a:latin typeface="Cambria Math" panose="02040503050406030204" pitchFamily="18" charset="0"/>
                          </a:rPr>
                          <m:t>−1)</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a:p>
          </xdr:txBody>
        </xdr:sp>
      </mc:Choice>
      <mc:Fallback xmlns="">
        <xdr:sp macro="" textlink="">
          <xdr:nvSpPr>
            <xdr:cNvPr id="2" name="TextBox 1">
              <a:extLst>
                <a:ext uri="{FF2B5EF4-FFF2-40B4-BE49-F238E27FC236}">
                  <a16:creationId xmlns:a16="http://schemas.microsoft.com/office/drawing/2014/main" id="{1F7474F2-1EAE-4C86-B3C8-C8FF2EC4ABE1}"/>
                </a:ext>
              </a:extLst>
            </xdr:cNvPr>
            <xdr:cNvSpPr txBox="1"/>
          </xdr:nvSpPr>
          <xdr:spPr>
            <a:xfrm>
              <a:off x="614362" y="504825"/>
              <a:ext cx="1624355"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𝐹𝑂𝑀1=(𝑂𝐼𝑃3(𝑚𝑊))/((𝐹−1)𝑃_𝑑𝑐 (𝑚𝑊))</a:t>
              </a:r>
              <a:endParaRPr lang="en-CA" sz="1100"/>
            </a:p>
          </xdr:txBody>
        </xdr:sp>
      </mc:Fallback>
    </mc:AlternateContent>
    <xdr:clientData/>
  </xdr:oneCellAnchor>
  <xdr:oneCellAnchor>
    <xdr:from>
      <xdr:col>0</xdr:col>
      <xdr:colOff>604837</xdr:colOff>
      <xdr:row>5</xdr:row>
      <xdr:rowOff>90487</xdr:rowOff>
    </xdr:from>
    <xdr:ext cx="2611805" cy="53078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4837" y="1042987"/>
              <a:ext cx="2611805" cy="530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2=</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r>
                          <a:rPr lang="en-CA" sz="1100" b="0" i="1">
                            <a:latin typeface="Cambria Math" panose="02040503050406030204" pitchFamily="18" charset="0"/>
                          </a:rPr>
                          <m:t>𝑙𝑖𝑛𝑒𝑎𝑟</m:t>
                        </m:r>
                        <m:r>
                          <a:rPr lang="en-CA" sz="1100" b="0" i="1">
                            <a:latin typeface="Cambria Math" panose="02040503050406030204" pitchFamily="18" charset="0"/>
                          </a:rPr>
                          <m:t>)∗</m:t>
                        </m:r>
                        <m:r>
                          <a:rPr lang="en-CA" sz="1100" b="0" i="1">
                            <a:latin typeface="Cambria Math" panose="02040503050406030204" pitchFamily="18" charset="0"/>
                          </a:rPr>
                          <m:t>𝐵𝑎𝑛𝑑𝑤𝑖𝑑𝑡h</m:t>
                        </m:r>
                        <m:d>
                          <m:dPr>
                            <m:ctrlPr>
                              <a:rPr lang="en-CA" sz="1100" b="0" i="1">
                                <a:latin typeface="Cambria Math" panose="02040503050406030204" pitchFamily="18" charset="0"/>
                              </a:rPr>
                            </m:ctrlPr>
                          </m:dPr>
                          <m:e>
                            <m:r>
                              <a:rPr lang="en-CA" sz="1100" b="0" i="1">
                                <a:latin typeface="Cambria Math" panose="02040503050406030204" pitchFamily="18" charset="0"/>
                              </a:rPr>
                              <m:t>𝐺h𝑧</m:t>
                            </m:r>
                          </m:e>
                        </m:d>
                      </m:num>
                      <m:den>
                        <m:d>
                          <m:dPr>
                            <m:ctrlPr>
                              <a:rPr lang="en-CA" sz="1100" b="0" i="1">
                                <a:latin typeface="Cambria Math" panose="02040503050406030204" pitchFamily="18" charset="0"/>
                              </a:rPr>
                            </m:ctrlPr>
                          </m:dPr>
                          <m:e>
                            <m:r>
                              <a:rPr lang="en-CA" sz="1100" b="0" i="1">
                                <a:latin typeface="Cambria Math" panose="02040503050406030204" pitchFamily="18" charset="0"/>
                              </a:rPr>
                              <m:t>𝐹</m:t>
                            </m:r>
                            <m:r>
                              <a:rPr lang="en-CA" sz="1100" b="0" i="1">
                                <a:latin typeface="Cambria Math" panose="02040503050406030204" pitchFamily="18" charset="0"/>
                              </a:rPr>
                              <m:t>−1</m:t>
                            </m:r>
                          </m:e>
                        </m:d>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b="0"/>
            </a:p>
            <a:p>
              <a:endParaRPr lang="en-CA" sz="1100"/>
            </a:p>
          </xdr:txBody>
        </xdr:sp>
      </mc:Choice>
      <mc:Fallback xmlns="">
        <xdr:sp macro="" textlink="">
          <xdr:nvSpPr>
            <xdr:cNvPr id="3" name="TextBox 2">
              <a:extLst>
                <a:ext uri="{FF2B5EF4-FFF2-40B4-BE49-F238E27FC236}">
                  <a16:creationId xmlns:a16="http://schemas.microsoft.com/office/drawing/2014/main" id="{780B3ABB-79E3-43CC-9974-03A19185C56C}"/>
                </a:ext>
              </a:extLst>
            </xdr:cNvPr>
            <xdr:cNvSpPr txBox="1"/>
          </xdr:nvSpPr>
          <xdr:spPr>
            <a:xfrm>
              <a:off x="604837" y="1042987"/>
              <a:ext cx="2611805" cy="530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𝐹𝑂𝑀2=(𝐺𝑎𝑖𝑛(𝑙𝑖𝑛𝑒𝑎𝑟)∗𝐵𝑎𝑛𝑑𝑤𝑖𝑑𝑡ℎ(𝐺ℎ𝑧))/((𝐹−1) 𝑃_𝑑𝑐 (𝑚𝑊))</a:t>
              </a:r>
              <a:endParaRPr lang="en-CA" sz="1100" b="0"/>
            </a:p>
            <a:p>
              <a:endParaRPr lang="en-CA" sz="1100"/>
            </a:p>
          </xdr:txBody>
        </xdr:sp>
      </mc:Fallback>
    </mc:AlternateContent>
    <xdr:clientData/>
  </xdr:oneCellAnchor>
  <xdr:oneCellAnchor>
    <xdr:from>
      <xdr:col>1</xdr:col>
      <xdr:colOff>0</xdr:colOff>
      <xdr:row>8</xdr:row>
      <xdr:rowOff>23812</xdr:rowOff>
    </xdr:from>
    <xdr:ext cx="2387961" cy="469039"/>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09600" y="1547812"/>
              <a:ext cx="2387961" cy="469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3=</m:t>
                    </m:r>
                    <m:f>
                      <m:fPr>
                        <m:ctrlPr>
                          <a:rPr lang="en-CA" sz="1100" b="0" i="1">
                            <a:latin typeface="Cambria Math" panose="02040503050406030204" pitchFamily="18" charset="0"/>
                          </a:rPr>
                        </m:ctrlPr>
                      </m:fPr>
                      <m:num>
                        <m:r>
                          <a:rPr lang="en-CA" sz="1100" b="0" i="1">
                            <a:latin typeface="Cambria Math" panose="02040503050406030204" pitchFamily="18" charset="0"/>
                          </a:rPr>
                          <m:t>𝐵𝑎𝑛𝑑𝑤𝑖𝑑𝑡h</m:t>
                        </m:r>
                        <m:d>
                          <m:dPr>
                            <m:ctrlPr>
                              <a:rPr lang="en-CA" sz="1100" b="0" i="1">
                                <a:latin typeface="Cambria Math" panose="02040503050406030204" pitchFamily="18" charset="0"/>
                              </a:rPr>
                            </m:ctrlPr>
                          </m:dPr>
                          <m:e>
                            <m:r>
                              <a:rPr lang="en-CA" sz="1100" b="0" i="1">
                                <a:latin typeface="Cambria Math" panose="02040503050406030204" pitchFamily="18" charset="0"/>
                              </a:rPr>
                              <m:t>𝐺h𝑧</m:t>
                            </m:r>
                          </m:e>
                        </m:d>
                        <m:r>
                          <a:rPr lang="en-CA" sz="1100" b="0" i="1">
                            <a:latin typeface="Cambria Math" panose="02040503050406030204" pitchFamily="18" charset="0"/>
                          </a:rPr>
                          <m:t>∗</m:t>
                        </m:r>
                        <m:r>
                          <a:rPr lang="en-CA" sz="1100" b="0" i="1">
                            <a:latin typeface="Cambria Math" panose="02040503050406030204" pitchFamily="18" charset="0"/>
                          </a:rPr>
                          <m:t>𝐺𝑎𝑖𝑛</m:t>
                        </m:r>
                      </m:num>
                      <m:den>
                        <m:d>
                          <m:dPr>
                            <m:ctrlPr>
                              <a:rPr lang="en-CA" sz="1100" b="0" i="1">
                                <a:latin typeface="Cambria Math" panose="02040503050406030204" pitchFamily="18" charset="0"/>
                              </a:rPr>
                            </m:ctrlPr>
                          </m:dPr>
                          <m:e>
                            <m:f>
                              <m:fPr>
                                <m:ctrlPr>
                                  <a:rPr lang="en-CA" sz="1100" b="0" i="1">
                                    <a:latin typeface="Cambria Math" panose="02040503050406030204" pitchFamily="18" charset="0"/>
                                  </a:rPr>
                                </m:ctrlPr>
                              </m:fPr>
                              <m:num>
                                <m:sSub>
                                  <m:sSubPr>
                                    <m:ctrlPr>
                                      <a:rPr lang="en-CA" sz="1100" b="0" i="1">
                                        <a:latin typeface="Cambria Math" panose="02040503050406030204" pitchFamily="18" charset="0"/>
                                      </a:rPr>
                                    </m:ctrlPr>
                                  </m:sSubPr>
                                  <m:e>
                                    <m:r>
                                      <a:rPr lang="en-CA" sz="1100" b="0" i="1">
                                        <a:latin typeface="Cambria Math" panose="02040503050406030204" pitchFamily="18" charset="0"/>
                                      </a:rPr>
                                      <m:t>𝐹</m:t>
                                    </m:r>
                                  </m:e>
                                  <m:sub>
                                    <m:r>
                                      <a:rPr lang="en-CA" sz="1100" b="0" i="1">
                                        <a:latin typeface="Cambria Math" panose="02040503050406030204" pitchFamily="18" charset="0"/>
                                      </a:rPr>
                                      <m:t>𝑚𝑎𝑥</m:t>
                                    </m:r>
                                  </m:sub>
                                </m:sSub>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𝐹</m:t>
                                    </m:r>
                                  </m:e>
                                  <m:sub>
                                    <m:r>
                                      <a:rPr lang="en-CA" sz="1100" b="0" i="1">
                                        <a:latin typeface="Cambria Math" panose="02040503050406030204" pitchFamily="18" charset="0"/>
                                      </a:rPr>
                                      <m:t>𝑚𝑖𝑛</m:t>
                                    </m:r>
                                  </m:sub>
                                </m:sSub>
                              </m:num>
                              <m:den>
                                <m:r>
                                  <a:rPr lang="en-CA" sz="1100" b="0" i="1">
                                    <a:latin typeface="Cambria Math" panose="02040503050406030204" pitchFamily="18" charset="0"/>
                                  </a:rPr>
                                  <m:t>2</m:t>
                                </m:r>
                              </m:den>
                            </m:f>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𝑚𝑤</m:t>
                        </m:r>
                        <m:r>
                          <a:rPr lang="en-CA" sz="1100" b="0" i="1">
                            <a:latin typeface="Cambria Math" panose="02040503050406030204" pitchFamily="18" charset="0"/>
                          </a:rPr>
                          <m:t>)</m:t>
                        </m:r>
                      </m:den>
                    </m:f>
                  </m:oMath>
                </m:oMathPara>
              </a14:m>
              <a:endParaRPr lang="en-CA" sz="1100"/>
            </a:p>
          </xdr:txBody>
        </xdr:sp>
      </mc:Choice>
      <mc:Fallback xmlns="">
        <xdr:sp macro="" textlink="">
          <xdr:nvSpPr>
            <xdr:cNvPr id="6" name="TextBox 5">
              <a:extLst>
                <a:ext uri="{FF2B5EF4-FFF2-40B4-BE49-F238E27FC236}">
                  <a16:creationId xmlns:a16="http://schemas.microsoft.com/office/drawing/2014/main" id="{8805F328-D878-4CAC-8958-2436D7A5F336}"/>
                </a:ext>
              </a:extLst>
            </xdr:cNvPr>
            <xdr:cNvSpPr txBox="1"/>
          </xdr:nvSpPr>
          <xdr:spPr>
            <a:xfrm>
              <a:off x="609600" y="1547812"/>
              <a:ext cx="2387961" cy="469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𝐹𝑂𝑀3=(𝐵𝑎𝑛𝑑𝑤𝑖𝑑𝑡ℎ(𝐺ℎ𝑧)∗𝐺𝑎𝑖𝑛)/(((𝐹_𝑚𝑎𝑥+𝐹_𝑚𝑖𝑛)/2−1)∗𝑃_𝑑𝑐 (𝑚𝑤))</a:t>
              </a:r>
              <a:endParaRPr lang="en-CA" sz="1100"/>
            </a:p>
          </xdr:txBody>
        </xdr:sp>
      </mc:Fallback>
    </mc:AlternateContent>
    <xdr:clientData/>
  </xdr:oneCellAnchor>
  <xdr:oneCellAnchor>
    <xdr:from>
      <xdr:col>0</xdr:col>
      <xdr:colOff>600075</xdr:colOff>
      <xdr:row>11</xdr:row>
      <xdr:rowOff>61912</xdr:rowOff>
    </xdr:from>
    <xdr:ext cx="2135328" cy="358560"/>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00075" y="2157412"/>
              <a:ext cx="2135328"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4=</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d>
                          <m:dPr>
                            <m:ctrlPr>
                              <a:rPr lang="en-CA" sz="1100" b="0" i="1">
                                <a:latin typeface="Cambria Math" panose="02040503050406030204" pitchFamily="18" charset="0"/>
                              </a:rPr>
                            </m:ctrlPr>
                          </m:dPr>
                          <m:e>
                            <m:r>
                              <a:rPr lang="en-CA" sz="1100" b="0" i="1">
                                <a:latin typeface="Cambria Math" panose="02040503050406030204" pitchFamily="18" charset="0"/>
                              </a:rPr>
                              <m:t>𝑑𝐵</m:t>
                            </m:r>
                          </m:e>
                        </m:d>
                        <m:r>
                          <a:rPr lang="en-CA" sz="1100" b="0" i="1">
                            <a:latin typeface="Cambria Math" panose="02040503050406030204" pitchFamily="18" charset="0"/>
                          </a:rPr>
                          <m:t>∗</m:t>
                        </m:r>
                        <m:r>
                          <a:rPr lang="en-CA" sz="1100" b="0" i="1">
                            <a:latin typeface="Cambria Math" panose="02040503050406030204" pitchFamily="18" charset="0"/>
                          </a:rPr>
                          <m:t>𝐵𝑊</m:t>
                        </m:r>
                        <m:r>
                          <a:rPr lang="en-CA" sz="1100" b="0" i="1">
                            <a:latin typeface="Cambria Math" panose="02040503050406030204" pitchFamily="18" charset="0"/>
                          </a:rPr>
                          <m:t>(</m:t>
                        </m:r>
                        <m:r>
                          <a:rPr lang="en-CA" sz="1100" b="0" i="1">
                            <a:latin typeface="Cambria Math" panose="02040503050406030204" pitchFamily="18" charset="0"/>
                          </a:rPr>
                          <m:t>𝐺𝐻𝑧</m:t>
                        </m:r>
                        <m:r>
                          <a:rPr lang="en-CA" sz="1100" b="0" i="1">
                            <a:latin typeface="Cambria Math" panose="02040503050406030204" pitchFamily="18" charset="0"/>
                          </a:rPr>
                          <m:t>)</m:t>
                        </m:r>
                      </m:num>
                      <m:den>
                        <m:d>
                          <m:dPr>
                            <m:begChr m:val="["/>
                            <m:endChr m:val="]"/>
                            <m:ctrlPr>
                              <a:rPr lang="en-CA" sz="1100" b="0" i="1">
                                <a:latin typeface="Cambria Math" panose="02040503050406030204" pitchFamily="18" charset="0"/>
                              </a:rPr>
                            </m:ctrlPr>
                          </m:dPr>
                          <m:e>
                            <m:r>
                              <a:rPr lang="en-CA" sz="1100" b="0" i="1">
                                <a:latin typeface="Cambria Math" panose="02040503050406030204" pitchFamily="18" charset="0"/>
                              </a:rPr>
                              <m:t>𝑁𝐹</m:t>
                            </m:r>
                            <m:d>
                              <m:dPr>
                                <m:ctrlPr>
                                  <a:rPr lang="en-CA" sz="1100" b="0" i="1">
                                    <a:latin typeface="Cambria Math" panose="02040503050406030204" pitchFamily="18" charset="0"/>
                                  </a:rPr>
                                </m:ctrlPr>
                              </m:dPr>
                              <m:e>
                                <m:r>
                                  <a:rPr lang="en-CA" sz="1100" b="0" i="1">
                                    <a:latin typeface="Cambria Math" panose="02040503050406030204" pitchFamily="18" charset="0"/>
                                  </a:rPr>
                                  <m:t>𝑑𝐵</m:t>
                                </m:r>
                              </m:e>
                            </m:d>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a:p>
          </xdr:txBody>
        </xdr:sp>
      </mc:Choice>
      <mc:Fallback xmlns="">
        <xdr:sp macro="" textlink="">
          <xdr:nvSpPr>
            <xdr:cNvPr id="8" name="TextBox 7">
              <a:extLst>
                <a:ext uri="{FF2B5EF4-FFF2-40B4-BE49-F238E27FC236}">
                  <a16:creationId xmlns:a16="http://schemas.microsoft.com/office/drawing/2014/main" id="{8259084F-C23E-4B2A-89DB-D5437958E9C0}"/>
                </a:ext>
              </a:extLst>
            </xdr:cNvPr>
            <xdr:cNvSpPr txBox="1"/>
          </xdr:nvSpPr>
          <xdr:spPr>
            <a:xfrm>
              <a:off x="600075" y="2157412"/>
              <a:ext cx="2135328"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𝐹𝑂𝑀4=(𝐺𝑎𝑖𝑛(𝑑𝐵)∗𝐵𝑊(𝐺𝐻𝑧))/([𝑁𝐹(𝑑𝐵)−1]∗𝑃_𝑑𝑐 (𝑚𝑊))</a:t>
              </a:r>
              <a:endParaRPr lang="en-CA" sz="1100"/>
            </a:p>
          </xdr:txBody>
        </xdr:sp>
      </mc:Fallback>
    </mc:AlternateContent>
    <xdr:clientData/>
  </xdr:oneCellAnchor>
  <xdr:oneCellAnchor>
    <xdr:from>
      <xdr:col>1</xdr:col>
      <xdr:colOff>9525</xdr:colOff>
      <xdr:row>14</xdr:row>
      <xdr:rowOff>185737</xdr:rowOff>
    </xdr:from>
    <xdr:ext cx="2077300" cy="358560"/>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19125" y="2852737"/>
              <a:ext cx="2077300"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5=</m:t>
                    </m:r>
                    <m:f>
                      <m:fPr>
                        <m:ctrlPr>
                          <a:rPr lang="en-CA" sz="1100" b="0" i="1">
                            <a:latin typeface="Cambria Math" panose="02040503050406030204" pitchFamily="18" charset="0"/>
                          </a:rPr>
                        </m:ctrlPr>
                      </m:fPr>
                      <m:num>
                        <m:r>
                          <a:rPr lang="en-CA" sz="1100" b="0" i="1">
                            <a:latin typeface="Cambria Math" panose="02040503050406030204" pitchFamily="18" charset="0"/>
                          </a:rPr>
                          <m:t>𝐵𝑎𝑛𝑑𝑤𝑖𝑑𝑡h</m:t>
                        </m:r>
                        <m:d>
                          <m:dPr>
                            <m:ctrlPr>
                              <a:rPr lang="en-CA" sz="1100" b="0" i="1">
                                <a:latin typeface="Cambria Math" panose="02040503050406030204" pitchFamily="18" charset="0"/>
                              </a:rPr>
                            </m:ctrlPr>
                          </m:dPr>
                          <m:e>
                            <m:r>
                              <a:rPr lang="en-CA" sz="1100" b="0" i="1">
                                <a:latin typeface="Cambria Math" panose="02040503050406030204" pitchFamily="18" charset="0"/>
                              </a:rPr>
                              <m:t>𝐺h𝑧</m:t>
                            </m:r>
                          </m:e>
                        </m:d>
                        <m:r>
                          <a:rPr lang="en-CA" sz="1100" b="0" i="1">
                            <a:latin typeface="Cambria Math" panose="02040503050406030204" pitchFamily="18" charset="0"/>
                          </a:rPr>
                          <m:t>∗</m:t>
                        </m:r>
                        <m:r>
                          <a:rPr lang="en-CA" sz="1100" b="0" i="1">
                            <a:latin typeface="Cambria Math" panose="02040503050406030204" pitchFamily="18" charset="0"/>
                          </a:rPr>
                          <m:t>𝐺𝑎𝑖𝑛</m:t>
                        </m:r>
                      </m:num>
                      <m:den>
                        <m:d>
                          <m:dPr>
                            <m:ctrlPr>
                              <a:rPr lang="en-CA" sz="1100" b="0" i="1">
                                <a:latin typeface="Cambria Math" panose="02040503050406030204" pitchFamily="18" charset="0"/>
                              </a:rPr>
                            </m:ctrlPr>
                          </m:dPr>
                          <m:e>
                            <m:sSub>
                              <m:sSubPr>
                                <m:ctrlPr>
                                  <a:rPr lang="en-CA" sz="1100" b="0" i="1">
                                    <a:latin typeface="Cambria Math" panose="02040503050406030204" pitchFamily="18" charset="0"/>
                                  </a:rPr>
                                </m:ctrlPr>
                              </m:sSubPr>
                              <m:e>
                                <m:r>
                                  <a:rPr lang="en-CA" sz="1100" b="0" i="1">
                                    <a:latin typeface="Cambria Math" panose="02040503050406030204" pitchFamily="18" charset="0"/>
                                  </a:rPr>
                                  <m:t>𝐹</m:t>
                                </m:r>
                              </m:e>
                              <m:sub>
                                <m:r>
                                  <a:rPr lang="en-CA" sz="1100" b="0" i="1">
                                    <a:latin typeface="Cambria Math" panose="02040503050406030204" pitchFamily="18" charset="0"/>
                                  </a:rPr>
                                  <m:t>𝑎𝑣𝑒</m:t>
                                </m:r>
                              </m:sub>
                            </m:sSub>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a:p>
          </xdr:txBody>
        </xdr:sp>
      </mc:Choice>
      <mc:Fallback xmlns="">
        <xdr:sp macro="" textlink="">
          <xdr:nvSpPr>
            <xdr:cNvPr id="12" name="TextBox 11">
              <a:extLst>
                <a:ext uri="{FF2B5EF4-FFF2-40B4-BE49-F238E27FC236}">
                  <a16:creationId xmlns:a16="http://schemas.microsoft.com/office/drawing/2014/main" id="{CF4AE114-0ACD-4998-84A1-48D70FD9E086}"/>
                </a:ext>
              </a:extLst>
            </xdr:cNvPr>
            <xdr:cNvSpPr txBox="1"/>
          </xdr:nvSpPr>
          <xdr:spPr>
            <a:xfrm>
              <a:off x="619125" y="2852737"/>
              <a:ext cx="2077300"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𝐹𝑂𝑀5=(𝐵𝑎𝑛𝑑𝑤𝑖𝑑𝑡ℎ(𝐺ℎ𝑧)∗𝐺𝑎𝑖𝑛)/((𝐹_𝑎𝑣𝑒−1)∗𝑃_𝑑𝑐 (𝑚𝑊))</a:t>
              </a:r>
              <a:endParaRPr lang="en-CA" sz="1100"/>
            </a:p>
          </xdr:txBody>
        </xdr:sp>
      </mc:Fallback>
    </mc:AlternateContent>
    <xdr:clientData/>
  </xdr:oneCellAnchor>
  <xdr:oneCellAnchor>
    <xdr:from>
      <xdr:col>4</xdr:col>
      <xdr:colOff>590550</xdr:colOff>
      <xdr:row>14</xdr:row>
      <xdr:rowOff>128587</xdr:rowOff>
    </xdr:from>
    <xdr:ext cx="2372508" cy="358560"/>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3028950" y="2795587"/>
              <a:ext cx="2372508"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6=</m:t>
                    </m:r>
                    <m:f>
                      <m:fPr>
                        <m:ctrlPr>
                          <a:rPr lang="en-CA" sz="1100" b="0" i="1">
                            <a:latin typeface="Cambria Math" panose="02040503050406030204" pitchFamily="18" charset="0"/>
                          </a:rPr>
                        </m:ctrlPr>
                      </m:fPr>
                      <m:num>
                        <m:r>
                          <a:rPr lang="en-CA" sz="1100" b="0" i="1">
                            <a:latin typeface="Cambria Math" panose="02040503050406030204" pitchFamily="18" charset="0"/>
                          </a:rPr>
                          <m:t>𝐵𝑎𝑛𝑑𝑤𝑖𝑑𝑡h</m:t>
                        </m:r>
                        <m:d>
                          <m:dPr>
                            <m:ctrlPr>
                              <a:rPr lang="en-CA" sz="1100" b="0" i="1">
                                <a:latin typeface="Cambria Math" panose="02040503050406030204" pitchFamily="18" charset="0"/>
                              </a:rPr>
                            </m:ctrlPr>
                          </m:dPr>
                          <m:e>
                            <m:r>
                              <a:rPr lang="en-CA" sz="1100" b="0" i="1">
                                <a:latin typeface="Cambria Math" panose="02040503050406030204" pitchFamily="18" charset="0"/>
                              </a:rPr>
                              <m:t>𝐺h𝑧</m:t>
                            </m:r>
                          </m:e>
                        </m:d>
                        <m:r>
                          <a:rPr lang="en-CA" sz="1100" b="0" i="1">
                            <a:latin typeface="Cambria Math" panose="02040503050406030204" pitchFamily="18" charset="0"/>
                          </a:rPr>
                          <m:t>∗</m:t>
                        </m:r>
                        <m:r>
                          <a:rPr lang="en-CA" sz="1100" b="0" i="1">
                            <a:latin typeface="Cambria Math" panose="02040503050406030204" pitchFamily="18" charset="0"/>
                          </a:rPr>
                          <m:t>𝐺𝑎𝑖𝑛</m:t>
                        </m:r>
                        <m:r>
                          <a:rPr lang="en-CA" sz="1100" b="0" i="1">
                            <a:latin typeface="Cambria Math" panose="02040503050406030204" pitchFamily="18" charset="0"/>
                          </a:rPr>
                          <m:t>(</m:t>
                        </m:r>
                        <m:r>
                          <a:rPr lang="en-CA" sz="1100" b="0" i="1">
                            <a:latin typeface="Cambria Math" panose="02040503050406030204" pitchFamily="18" charset="0"/>
                          </a:rPr>
                          <m:t>𝑑𝐵</m:t>
                        </m:r>
                        <m:r>
                          <a:rPr lang="en-CA" sz="1100" b="0" i="1">
                            <a:latin typeface="Cambria Math" panose="02040503050406030204" pitchFamily="18" charset="0"/>
                          </a:rPr>
                          <m:t>)</m:t>
                        </m:r>
                      </m:num>
                      <m:den>
                        <m:d>
                          <m:dPr>
                            <m:ctrlPr>
                              <a:rPr lang="en-CA" sz="1100" b="0" i="1">
                                <a:solidFill>
                                  <a:schemeClr val="tx1"/>
                                </a:solidFill>
                                <a:effectLst/>
                                <a:latin typeface="Cambria Math" panose="02040503050406030204" pitchFamily="18" charset="0"/>
                                <a:ea typeface="+mn-ea"/>
                                <a:cs typeface="+mn-cs"/>
                              </a:rPr>
                            </m:ctrlPr>
                          </m:dPr>
                          <m:e>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𝐹</m:t>
                                </m:r>
                              </m:e>
                              <m:sub>
                                <m:r>
                                  <a:rPr lang="en-CA" sz="1100" b="0" i="1">
                                    <a:solidFill>
                                      <a:schemeClr val="tx1"/>
                                    </a:solidFill>
                                    <a:effectLst/>
                                    <a:latin typeface="Cambria Math" panose="02040503050406030204" pitchFamily="18" charset="0"/>
                                    <a:ea typeface="+mn-ea"/>
                                    <a:cs typeface="+mn-cs"/>
                                  </a:rPr>
                                  <m:t>𝑎𝑣𝑒</m:t>
                                </m:r>
                              </m:sub>
                            </m:sSub>
                            <m:r>
                              <a:rPr lang="en-CA" sz="1100" b="0" i="1">
                                <a:solidFill>
                                  <a:schemeClr val="tx1"/>
                                </a:solidFill>
                                <a:effectLst/>
                                <a:latin typeface="Cambria Math" panose="02040503050406030204" pitchFamily="18" charset="0"/>
                                <a:ea typeface="+mn-ea"/>
                                <a:cs typeface="+mn-cs"/>
                              </a:rPr>
                              <m:t>−1</m:t>
                            </m:r>
                          </m:e>
                        </m:d>
                        <m:r>
                          <a:rPr lang="en-CA" sz="1100" b="0" i="1">
                            <a:solidFill>
                              <a:schemeClr val="tx1"/>
                            </a:solidFill>
                            <a:effectLst/>
                            <a:latin typeface="Cambria Math" panose="02040503050406030204" pitchFamily="18" charset="0"/>
                            <a:ea typeface="+mn-ea"/>
                            <a:cs typeface="+mn-cs"/>
                          </a:rPr>
                          <m:t>∗</m:t>
                        </m:r>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𝑃</m:t>
                            </m:r>
                          </m:e>
                          <m:sub>
                            <m:r>
                              <a:rPr lang="en-CA" sz="1100" b="0" i="1">
                                <a:solidFill>
                                  <a:schemeClr val="tx1"/>
                                </a:solidFill>
                                <a:effectLst/>
                                <a:latin typeface="Cambria Math" panose="02040503050406030204" pitchFamily="18" charset="0"/>
                                <a:ea typeface="+mn-ea"/>
                                <a:cs typeface="+mn-cs"/>
                              </a:rPr>
                              <m:t>𝑑𝑐</m:t>
                            </m:r>
                          </m:sub>
                        </m:sSub>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𝑚𝑊</m:t>
                        </m:r>
                        <m:r>
                          <a:rPr lang="en-CA" sz="1100" b="0" i="1">
                            <a:solidFill>
                              <a:schemeClr val="tx1"/>
                            </a:solidFill>
                            <a:effectLst/>
                            <a:latin typeface="Cambria Math" panose="02040503050406030204" pitchFamily="18" charset="0"/>
                            <a:ea typeface="+mn-ea"/>
                            <a:cs typeface="+mn-cs"/>
                          </a:rPr>
                          <m:t>)</m:t>
                        </m:r>
                      </m:den>
                    </m:f>
                  </m:oMath>
                </m:oMathPara>
              </a14:m>
              <a:endParaRPr lang="en-CA" sz="1100"/>
            </a:p>
          </xdr:txBody>
        </xdr:sp>
      </mc:Choice>
      <mc:Fallback xmlns="">
        <xdr:sp macro="" textlink="">
          <xdr:nvSpPr>
            <xdr:cNvPr id="14" name="TextBox 13">
              <a:extLst>
                <a:ext uri="{FF2B5EF4-FFF2-40B4-BE49-F238E27FC236}">
                  <a16:creationId xmlns:a16="http://schemas.microsoft.com/office/drawing/2014/main" id="{F69A0395-A78E-4AA0-A437-8F53F573B096}"/>
                </a:ext>
              </a:extLst>
            </xdr:cNvPr>
            <xdr:cNvSpPr txBox="1"/>
          </xdr:nvSpPr>
          <xdr:spPr>
            <a:xfrm>
              <a:off x="3028950" y="2795587"/>
              <a:ext cx="2372508"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𝐹𝑂𝑀6=(𝐵𝑎𝑛𝑑𝑤𝑖𝑑𝑡ℎ(𝐺ℎ𝑧)∗𝐺𝑎𝑖𝑛(𝑑𝐵))/(</a:t>
              </a:r>
              <a:r>
                <a:rPr lang="en-CA" sz="1100" b="0" i="0">
                  <a:solidFill>
                    <a:schemeClr val="tx1"/>
                  </a:solidFill>
                  <a:effectLst/>
                  <a:latin typeface="+mn-lt"/>
                  <a:ea typeface="+mn-ea"/>
                  <a:cs typeface="+mn-cs"/>
                </a:rPr>
                <a:t>(𝐹_𝑎𝑣𝑒−1)∗𝑃_𝑑𝑐 (𝑚𝑊)</a:t>
              </a:r>
              <a:r>
                <a:rPr lang="en-CA" sz="1100" b="0" i="0">
                  <a:solidFill>
                    <a:schemeClr val="tx1"/>
                  </a:solidFill>
                  <a:effectLst/>
                  <a:latin typeface="Cambria Math" panose="02040503050406030204" pitchFamily="18" charset="0"/>
                  <a:ea typeface="+mn-ea"/>
                  <a:cs typeface="+mn-cs"/>
                </a:rPr>
                <a:t>)</a:t>
              </a:r>
              <a:endParaRPr lang="en-CA" sz="1100"/>
            </a:p>
          </xdr:txBody>
        </xdr:sp>
      </mc:Fallback>
    </mc:AlternateContent>
    <xdr:clientData/>
  </xdr:oneCellAnchor>
  <xdr:oneCellAnchor>
    <xdr:from>
      <xdr:col>1</xdr:col>
      <xdr:colOff>0</xdr:colOff>
      <xdr:row>17</xdr:row>
      <xdr:rowOff>166687</xdr:rowOff>
    </xdr:from>
    <xdr:ext cx="3201902" cy="352469"/>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609600" y="3405187"/>
              <a:ext cx="3201902"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7=</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𝐵𝑎𝑛𝑑𝑤𝑖𝑑𝑡h</m:t>
                            </m:r>
                          </m:e>
                          <m:sub>
                            <m:r>
                              <a:rPr lang="en-CA" sz="1100" b="0" i="1">
                                <a:latin typeface="Cambria Math" panose="02040503050406030204" pitchFamily="18" charset="0"/>
                              </a:rPr>
                              <m:t>3</m:t>
                            </m:r>
                            <m:r>
                              <a:rPr lang="en-CA" sz="1100" b="0" i="1">
                                <a:latin typeface="Cambria Math" panose="02040503050406030204" pitchFamily="18" charset="0"/>
                              </a:rPr>
                              <m:t>𝑑𝐵</m:t>
                            </m:r>
                          </m:sub>
                        </m:sSub>
                        <m:r>
                          <a:rPr lang="en-CA" sz="1100" b="0" i="1">
                            <a:latin typeface="Cambria Math" panose="02040503050406030204" pitchFamily="18" charset="0"/>
                          </a:rPr>
                          <m:t>(</m:t>
                        </m:r>
                        <m:r>
                          <a:rPr lang="en-CA" sz="1100" b="0" i="1">
                            <a:latin typeface="Cambria Math" panose="02040503050406030204" pitchFamily="18" charset="0"/>
                          </a:rPr>
                          <m:t>𝐺h𝑧</m:t>
                        </m:r>
                        <m:r>
                          <a:rPr lang="en-CA" sz="1100" b="0" i="1">
                            <a:latin typeface="Cambria Math" panose="02040503050406030204" pitchFamily="18" charset="0"/>
                          </a:rPr>
                          <m:t>)</m:t>
                        </m:r>
                      </m:num>
                      <m:den>
                        <m:d>
                          <m:dPr>
                            <m:ctrlPr>
                              <a:rPr lang="en-CA" sz="1100" b="0" i="1">
                                <a:latin typeface="Cambria Math" panose="02040503050406030204" pitchFamily="18" charset="0"/>
                              </a:rPr>
                            </m:ctrlPr>
                          </m:dPr>
                          <m:e>
                            <m:sSub>
                              <m:sSubPr>
                                <m:ctrlPr>
                                  <a:rPr lang="en-CA" sz="1100" b="0" i="1">
                                    <a:latin typeface="Cambria Math" panose="02040503050406030204" pitchFamily="18" charset="0"/>
                                  </a:rPr>
                                </m:ctrlPr>
                              </m:sSubPr>
                              <m:e>
                                <m:r>
                                  <a:rPr lang="en-CA" sz="1100" b="0" i="1">
                                    <a:latin typeface="Cambria Math" panose="02040503050406030204" pitchFamily="18" charset="0"/>
                                  </a:rPr>
                                  <m:t>𝑁𝐹</m:t>
                                </m:r>
                              </m:e>
                              <m:sub>
                                <m:r>
                                  <a:rPr lang="en-CA" sz="1100" b="0" i="1">
                                    <a:latin typeface="Cambria Math" panose="02040503050406030204" pitchFamily="18" charset="0"/>
                                  </a:rPr>
                                  <m:t>𝑎𝑣𝑒</m:t>
                                </m:r>
                              </m:sub>
                            </m:sSub>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d>
                          <m:dPr>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r>
                          <a:rPr lang="en-CA" sz="1100" b="0" i="1">
                            <a:latin typeface="Cambria Math" panose="02040503050406030204" pitchFamily="18" charset="0"/>
                          </a:rPr>
                          <m:t>𝐶𝑜𝑟𝑒𝐴𝑟𝑒𝑎</m:t>
                        </m:r>
                        <m:r>
                          <a:rPr lang="en-CA" sz="1100" b="0" i="1">
                            <a:latin typeface="Cambria Math" panose="02040503050406030204" pitchFamily="18" charset="0"/>
                          </a:rPr>
                          <m:t>(</m:t>
                        </m:r>
                        <m:r>
                          <a:rPr lang="en-CA" sz="1100" b="0" i="1">
                            <a:latin typeface="Cambria Math" panose="02040503050406030204" pitchFamily="18" charset="0"/>
                          </a:rPr>
                          <m:t>𝑚</m:t>
                        </m:r>
                        <m:sSup>
                          <m:sSupPr>
                            <m:ctrlPr>
                              <a:rPr lang="en-CA" sz="1100" b="0" i="1">
                                <a:latin typeface="Cambria Math" panose="02040503050406030204" pitchFamily="18" charset="0"/>
                              </a:rPr>
                            </m:ctrlPr>
                          </m:sSupPr>
                          <m:e>
                            <m:r>
                              <a:rPr lang="en-CA" sz="1100" b="0" i="1">
                                <a:latin typeface="Cambria Math" panose="02040503050406030204" pitchFamily="18" charset="0"/>
                              </a:rPr>
                              <m:t>𝑚</m:t>
                            </m:r>
                          </m:e>
                          <m:sup>
                            <m:r>
                              <a:rPr lang="en-CA" sz="1100" b="0" i="1">
                                <a:latin typeface="Cambria Math" panose="02040503050406030204" pitchFamily="18" charset="0"/>
                              </a:rPr>
                              <m:t>2</m:t>
                            </m:r>
                          </m:sup>
                        </m:sSup>
                        <m:r>
                          <a:rPr lang="en-CA" sz="1100" b="0" i="1">
                            <a:latin typeface="Cambria Math" panose="02040503050406030204" pitchFamily="18" charset="0"/>
                          </a:rPr>
                          <m:t>)</m:t>
                        </m:r>
                      </m:den>
                    </m:f>
                  </m:oMath>
                </m:oMathPara>
              </a14:m>
              <a:endParaRPr lang="en-CA" sz="1100"/>
            </a:p>
          </xdr:txBody>
        </xdr:sp>
      </mc:Choice>
      <mc:Fallback xmlns="">
        <xdr:sp macro="" textlink="">
          <xdr:nvSpPr>
            <xdr:cNvPr id="16" name="TextBox 15">
              <a:extLst>
                <a:ext uri="{FF2B5EF4-FFF2-40B4-BE49-F238E27FC236}">
                  <a16:creationId xmlns:a16="http://schemas.microsoft.com/office/drawing/2014/main" id="{B8C0A819-B8E2-44DF-A772-568AE34CADB5}"/>
                </a:ext>
              </a:extLst>
            </xdr:cNvPr>
            <xdr:cNvSpPr txBox="1"/>
          </xdr:nvSpPr>
          <xdr:spPr>
            <a:xfrm>
              <a:off x="609600" y="3405187"/>
              <a:ext cx="3201902"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𝐹𝑂𝑀7=(𝐺𝑎𝑖𝑛∗〖𝐵𝑎𝑛𝑑𝑤𝑖𝑑𝑡ℎ〗_3𝑑𝐵 (𝐺ℎ𝑧))/((〖𝑁𝐹〗_𝑎𝑣𝑒−1)∗𝑃_𝑑𝑐 (𝑚𝑊)∗𝐶𝑜𝑟𝑒𝐴𝑟𝑒𝑎(𝑚𝑚^2))</a:t>
              </a:r>
              <a:endParaRPr lang="en-CA" sz="1100"/>
            </a:p>
          </xdr:txBody>
        </xdr:sp>
      </mc:Fallback>
    </mc:AlternateContent>
    <xdr:clientData/>
  </xdr:oneCellAnchor>
  <xdr:oneCellAnchor>
    <xdr:from>
      <xdr:col>1</xdr:col>
      <xdr:colOff>19050</xdr:colOff>
      <xdr:row>20</xdr:row>
      <xdr:rowOff>180975</xdr:rowOff>
    </xdr:from>
    <xdr:ext cx="3251724" cy="358881"/>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628650" y="3990975"/>
              <a:ext cx="3251724" cy="358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8=</m:t>
                    </m:r>
                    <m:f>
                      <m:fPr>
                        <m:ctrlPr>
                          <a:rPr lang="en-CA" sz="1100" b="0" i="1">
                            <a:latin typeface="Cambria Math" panose="02040503050406030204" pitchFamily="18" charset="0"/>
                          </a:rPr>
                        </m:ctrlPr>
                      </m:fPr>
                      <m:num>
                        <m:r>
                          <a:rPr lang="en-CA" sz="1100" b="0" i="1">
                            <a:solidFill>
                              <a:schemeClr val="tx1"/>
                            </a:solidFill>
                            <a:effectLst/>
                            <a:latin typeface="Cambria Math" panose="02040503050406030204" pitchFamily="18" charset="0"/>
                            <a:ea typeface="+mn-ea"/>
                            <a:cs typeface="+mn-cs"/>
                          </a:rPr>
                          <m:t>𝐺𝑎𝑖𝑛</m:t>
                        </m:r>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𝑎𝑏𝑠</m:t>
                            </m:r>
                          </m:e>
                        </m:d>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𝐼𝐼𝑃</m:t>
                        </m:r>
                        <m:r>
                          <a:rPr lang="en-CA" sz="1100" b="0" i="1">
                            <a:solidFill>
                              <a:schemeClr val="tx1"/>
                            </a:solidFill>
                            <a:effectLst/>
                            <a:latin typeface="Cambria Math" panose="02040503050406030204" pitchFamily="18" charset="0"/>
                            <a:ea typeface="+mn-ea"/>
                            <a:cs typeface="+mn-cs"/>
                          </a:rPr>
                          <m:t>3</m:t>
                        </m:r>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𝑚𝑊</m:t>
                            </m:r>
                          </m:e>
                        </m:d>
                        <m:r>
                          <a:rPr lang="en-CA" sz="1100" b="0" i="1">
                            <a:solidFill>
                              <a:schemeClr val="tx1"/>
                            </a:solidFill>
                            <a:effectLst/>
                            <a:latin typeface="Cambria Math" panose="02040503050406030204" pitchFamily="18" charset="0"/>
                            <a:ea typeface="+mn-ea"/>
                            <a:cs typeface="+mn-cs"/>
                          </a:rPr>
                          <m:t>∗</m:t>
                        </m:r>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𝑓</m:t>
                            </m:r>
                          </m:e>
                          <m:sub>
                            <m:r>
                              <a:rPr lang="en-CA" sz="1100" b="0" i="1">
                                <a:solidFill>
                                  <a:schemeClr val="tx1"/>
                                </a:solidFill>
                                <a:effectLst/>
                                <a:latin typeface="Cambria Math" panose="02040503050406030204" pitchFamily="18" charset="0"/>
                                <a:ea typeface="+mn-ea"/>
                                <a:cs typeface="+mn-cs"/>
                              </a:rPr>
                              <m:t>𝑐</m:t>
                            </m:r>
                          </m:sub>
                        </m:sSub>
                        <m:d>
                          <m:dPr>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𝐺h𝑧</m:t>
                            </m:r>
                          </m:e>
                        </m:d>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𝐸𝑆𝐷</m:t>
                        </m:r>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𝑘𝑉</m:t>
                        </m:r>
                        <m:r>
                          <a:rPr lang="en-CA" sz="1100" b="0" i="1">
                            <a:solidFill>
                              <a:schemeClr val="tx1"/>
                            </a:solidFill>
                            <a:effectLst/>
                            <a:latin typeface="Cambria Math" panose="02040503050406030204" pitchFamily="18" charset="0"/>
                            <a:ea typeface="+mn-ea"/>
                            <a:cs typeface="+mn-cs"/>
                          </a:rPr>
                          <m:t>)</m:t>
                        </m:r>
                      </m:num>
                      <m:den>
                        <m:d>
                          <m:dPr>
                            <m:ctrlPr>
                              <a:rPr lang="en-CA" sz="1100" b="0" i="1">
                                <a:latin typeface="Cambria Math" panose="02040503050406030204" pitchFamily="18" charset="0"/>
                              </a:rPr>
                            </m:ctrlPr>
                          </m:dPr>
                          <m:e>
                            <m:r>
                              <a:rPr lang="en-CA" sz="1100" b="0" i="1">
                                <a:latin typeface="Cambria Math" panose="02040503050406030204" pitchFamily="18" charset="0"/>
                              </a:rPr>
                              <m:t>𝑁𝐹</m:t>
                            </m:r>
                            <m:r>
                              <a:rPr lang="en-CA" sz="1100" b="0" i="1">
                                <a:latin typeface="Cambria Math" panose="02040503050406030204" pitchFamily="18" charset="0"/>
                              </a:rPr>
                              <m:t>−1</m:t>
                            </m:r>
                          </m:e>
                        </m:d>
                        <m:d>
                          <m:dPr>
                            <m:begChr m:val="["/>
                            <m:endChr m:val="]"/>
                            <m:ctrlPr>
                              <a:rPr lang="en-CA" sz="1100" b="0" i="1">
                                <a:latin typeface="Cambria Math" panose="02040503050406030204" pitchFamily="18" charset="0"/>
                              </a:rPr>
                            </m:ctrlPr>
                          </m:dPr>
                          <m:e>
                            <m:r>
                              <a:rPr lang="en-CA" sz="1100" b="0" i="1">
                                <a:latin typeface="Cambria Math" panose="02040503050406030204" pitchFamily="18" charset="0"/>
                              </a:rPr>
                              <m:t>𝑎𝑏𝑠</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a:p>
          </xdr:txBody>
        </xdr:sp>
      </mc:Choice>
      <mc:Fallback xmlns="">
        <xdr:sp macro="" textlink="">
          <xdr:nvSpPr>
            <xdr:cNvPr id="17" name="TextBox 16">
              <a:extLst>
                <a:ext uri="{FF2B5EF4-FFF2-40B4-BE49-F238E27FC236}">
                  <a16:creationId xmlns:a16="http://schemas.microsoft.com/office/drawing/2014/main" id="{711A834D-DA82-4665-8CAE-3C718C86320F}"/>
                </a:ext>
              </a:extLst>
            </xdr:cNvPr>
            <xdr:cNvSpPr txBox="1"/>
          </xdr:nvSpPr>
          <xdr:spPr>
            <a:xfrm>
              <a:off x="628650" y="3990975"/>
              <a:ext cx="3251724" cy="358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𝐹𝑂𝑀8=(</a:t>
              </a:r>
              <a:r>
                <a:rPr lang="en-CA" sz="1100" b="0" i="0">
                  <a:solidFill>
                    <a:schemeClr val="tx1"/>
                  </a:solidFill>
                  <a:effectLst/>
                  <a:latin typeface="Cambria Math" panose="02040503050406030204" pitchFamily="18" charset="0"/>
                  <a:ea typeface="+mn-ea"/>
                  <a:cs typeface="+mn-cs"/>
                </a:rPr>
                <a:t>𝐺𝑎𝑖𝑛[𝑎𝑏𝑠]∗𝐼𝐼𝑃3[𝑚𝑊]∗𝑓_𝑐 (𝐺ℎ𝑧)∗𝐸𝑆𝐷(𝑘𝑉))/((</a:t>
              </a:r>
              <a:r>
                <a:rPr lang="en-CA" sz="1100" b="0" i="0">
                  <a:latin typeface="Cambria Math" panose="02040503050406030204" pitchFamily="18" charset="0"/>
                </a:rPr>
                <a:t>𝑁𝐹−1)[𝑎𝑏𝑠]∗𝑃_𝑑𝑐 (𝑚𝑊))</a:t>
              </a:r>
              <a:endParaRPr lang="en-CA" sz="1100"/>
            </a:p>
          </xdr:txBody>
        </xdr:sp>
      </mc:Fallback>
    </mc:AlternateContent>
    <xdr:clientData/>
  </xdr:oneCellAnchor>
  <xdr:oneCellAnchor>
    <xdr:from>
      <xdr:col>0</xdr:col>
      <xdr:colOff>590550</xdr:colOff>
      <xdr:row>23</xdr:row>
      <xdr:rowOff>133350</xdr:rowOff>
    </xdr:from>
    <xdr:ext cx="3356112" cy="35618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590550" y="4514850"/>
              <a:ext cx="3356112" cy="3561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9=</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d>
                          <m:dPr>
                            <m:ctrlPr>
                              <a:rPr lang="en-CA" sz="1100" b="0" i="1">
                                <a:latin typeface="Cambria Math" panose="02040503050406030204" pitchFamily="18" charset="0"/>
                              </a:rPr>
                            </m:ctrlPr>
                          </m:dPr>
                          <m:e>
                            <m:r>
                              <a:rPr lang="en-CA" sz="1100" b="0" i="1">
                                <a:latin typeface="Cambria Math" panose="02040503050406030204" pitchFamily="18" charset="0"/>
                              </a:rPr>
                              <m:t>𝑑𝐵</m:t>
                            </m:r>
                          </m:e>
                        </m:d>
                        <m:r>
                          <a:rPr lang="en-CA" sz="1100" b="0" i="1">
                            <a:latin typeface="Cambria Math" panose="02040503050406030204" pitchFamily="18" charset="0"/>
                          </a:rPr>
                          <m:t>∗</m:t>
                        </m:r>
                        <m:r>
                          <a:rPr lang="en-CA" sz="1100" b="0" i="1">
                            <a:latin typeface="Cambria Math" panose="02040503050406030204" pitchFamily="18" charset="0"/>
                          </a:rPr>
                          <m:t>𝐵𝑎𝑛𝑑𝑤𝑖𝑑𝑡h</m:t>
                        </m:r>
                        <m:d>
                          <m:dPr>
                            <m:ctrlPr>
                              <a:rPr lang="en-CA" sz="1100" b="0" i="1">
                                <a:latin typeface="Cambria Math" panose="02040503050406030204" pitchFamily="18" charset="0"/>
                              </a:rPr>
                            </m:ctrlPr>
                          </m:dPr>
                          <m:e>
                            <m:r>
                              <a:rPr lang="en-CA" sz="1100" b="0" i="1">
                                <a:latin typeface="Cambria Math" panose="02040503050406030204" pitchFamily="18" charset="0"/>
                              </a:rPr>
                              <m:t>𝐺h𝑧</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𝑂𝑃</m:t>
                            </m:r>
                          </m:e>
                          <m:sub>
                            <m:r>
                              <a:rPr lang="en-CA" sz="1100" b="0" i="1">
                                <a:latin typeface="Cambria Math" panose="02040503050406030204" pitchFamily="18" charset="0"/>
                              </a:rPr>
                              <m:t>1</m:t>
                            </m:r>
                            <m:r>
                              <a:rPr lang="en-CA" sz="1100" b="0" i="1">
                                <a:latin typeface="Cambria Math" panose="02040503050406030204" pitchFamily="18" charset="0"/>
                              </a:rPr>
                              <m:t>𝑑𝐵</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num>
                      <m:den>
                        <m:d>
                          <m:dPr>
                            <m:begChr m:val="["/>
                            <m:endChr m:val="]"/>
                            <m:ctrlPr>
                              <a:rPr lang="en-CA" sz="1100" b="0" i="1">
                                <a:latin typeface="Cambria Math" panose="02040503050406030204" pitchFamily="18" charset="0"/>
                              </a:rPr>
                            </m:ctrlPr>
                          </m:dPr>
                          <m:e>
                            <m:r>
                              <a:rPr lang="en-CA" sz="1100" b="0" i="1">
                                <a:latin typeface="Cambria Math" panose="02040503050406030204" pitchFamily="18" charset="0"/>
                              </a:rPr>
                              <m:t>𝑁𝐹</m:t>
                            </m:r>
                            <m:d>
                              <m:dPr>
                                <m:ctrlPr>
                                  <a:rPr lang="en-CA" sz="1100" b="0" i="1">
                                    <a:latin typeface="Cambria Math" panose="02040503050406030204" pitchFamily="18" charset="0"/>
                                  </a:rPr>
                                </m:ctrlPr>
                              </m:dPr>
                              <m:e>
                                <m:r>
                                  <a:rPr lang="en-CA" sz="1100" b="0" i="1">
                                    <a:latin typeface="Cambria Math" panose="02040503050406030204" pitchFamily="18" charset="0"/>
                                  </a:rPr>
                                  <m:t>𝑑𝐵</m:t>
                                </m:r>
                              </m:e>
                            </m:d>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a:p>
          </xdr:txBody>
        </xdr:sp>
      </mc:Choice>
      <mc:Fallback xmlns="">
        <xdr:sp macro="" textlink="">
          <xdr:nvSpPr>
            <xdr:cNvPr id="13" name="TextBox 12">
              <a:extLst>
                <a:ext uri="{FF2B5EF4-FFF2-40B4-BE49-F238E27FC236}">
                  <a16:creationId xmlns:a16="http://schemas.microsoft.com/office/drawing/2014/main" id="{16AEB606-3E14-47F4-8E1B-5A9D13E0D37D}"/>
                </a:ext>
              </a:extLst>
            </xdr:cNvPr>
            <xdr:cNvSpPr txBox="1"/>
          </xdr:nvSpPr>
          <xdr:spPr>
            <a:xfrm>
              <a:off x="590550" y="4514850"/>
              <a:ext cx="3356112" cy="3561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𝐹𝑂𝑀9=(𝐺𝑎𝑖𝑛(𝑑𝐵)∗𝐵𝑎𝑛𝑑𝑤𝑖𝑑𝑡ℎ(𝐺ℎ𝑧)∗〖𝑂𝑃〗_1𝑑𝐵 (𝑚𝑊))/([𝑁𝐹(𝑑𝐵)−1]∗𝑃_𝑑𝑐 (𝑚𝑊))</a:t>
              </a:r>
              <a:endParaRPr lang="en-CA" sz="1100"/>
            </a:p>
          </xdr:txBody>
        </xdr:sp>
      </mc:Fallback>
    </mc:AlternateContent>
    <xdr:clientData/>
  </xdr:oneCellAnchor>
  <xdr:oneCellAnchor>
    <xdr:from>
      <xdr:col>1</xdr:col>
      <xdr:colOff>47625</xdr:colOff>
      <xdr:row>29</xdr:row>
      <xdr:rowOff>104775</xdr:rowOff>
    </xdr:from>
    <xdr:ext cx="2248629" cy="358560"/>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657225" y="5057775"/>
              <a:ext cx="2248629"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11=</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𝑓</m:t>
                            </m:r>
                          </m:e>
                          <m:sub>
                            <m:r>
                              <a:rPr lang="en-CA" sz="1100" b="0" i="1">
                                <a:latin typeface="Cambria Math" panose="02040503050406030204" pitchFamily="18" charset="0"/>
                              </a:rPr>
                              <m:t>𝑐</m:t>
                            </m:r>
                          </m:sub>
                        </m:sSub>
                        <m:d>
                          <m:dPr>
                            <m:ctrlPr>
                              <a:rPr lang="en-CA" sz="1100" b="0" i="1">
                                <a:latin typeface="Cambria Math" panose="02040503050406030204" pitchFamily="18" charset="0"/>
                              </a:rPr>
                            </m:ctrlPr>
                          </m:dPr>
                          <m:e>
                            <m:r>
                              <a:rPr lang="en-CA" sz="1100" b="0" i="1">
                                <a:latin typeface="Cambria Math" panose="02040503050406030204" pitchFamily="18" charset="0"/>
                              </a:rPr>
                              <m:t>𝐺h𝑧</m:t>
                            </m:r>
                          </m:e>
                        </m:d>
                        <m:r>
                          <a:rPr lang="en-CA" sz="1100" b="0" i="1">
                            <a:latin typeface="Cambria Math" panose="02040503050406030204" pitchFamily="18" charset="0"/>
                          </a:rPr>
                          <m:t>∗</m:t>
                        </m:r>
                        <m:r>
                          <a:rPr lang="en-CA" sz="1100" b="0" i="1">
                            <a:latin typeface="Cambria Math" panose="02040503050406030204" pitchFamily="18" charset="0"/>
                          </a:rPr>
                          <m:t>𝐸𝑆𝐷</m:t>
                        </m:r>
                        <m:r>
                          <a:rPr lang="en-CA" sz="1100" b="0" i="1">
                            <a:latin typeface="Cambria Math" panose="02040503050406030204" pitchFamily="18" charset="0"/>
                          </a:rPr>
                          <m:t>(</m:t>
                        </m:r>
                        <m:r>
                          <a:rPr lang="en-CA" sz="1100" b="0" i="1">
                            <a:latin typeface="Cambria Math" panose="02040503050406030204" pitchFamily="18" charset="0"/>
                          </a:rPr>
                          <m:t>𝑘𝑉</m:t>
                        </m:r>
                        <m:r>
                          <a:rPr lang="en-CA" sz="1100" b="0" i="1">
                            <a:latin typeface="Cambria Math" panose="02040503050406030204" pitchFamily="18" charset="0"/>
                          </a:rPr>
                          <m:t>)</m:t>
                        </m:r>
                      </m:num>
                      <m:den>
                        <m:r>
                          <a:rPr lang="en-CA" sz="1100" b="0" i="1">
                            <a:latin typeface="Cambria Math" panose="02040503050406030204" pitchFamily="18" charset="0"/>
                          </a:rPr>
                          <m:t>(</m:t>
                        </m:r>
                        <m:r>
                          <a:rPr lang="en-CA" sz="1100" b="0" i="1">
                            <a:latin typeface="Cambria Math" panose="02040503050406030204" pitchFamily="18" charset="0"/>
                          </a:rPr>
                          <m:t>𝐹</m:t>
                        </m:r>
                        <m:r>
                          <a:rPr lang="en-CA" sz="1100" b="0" i="1">
                            <a:latin typeface="Cambria Math" panose="02040503050406030204" pitchFamily="18" charset="0"/>
                          </a:rPr>
                          <m:t>−1)∗</m:t>
                        </m:r>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𝑃</m:t>
                            </m:r>
                          </m:e>
                          <m:sub>
                            <m:r>
                              <a:rPr lang="en-CA" sz="1100" b="0" i="1">
                                <a:solidFill>
                                  <a:schemeClr val="tx1"/>
                                </a:solidFill>
                                <a:effectLst/>
                                <a:latin typeface="Cambria Math" panose="02040503050406030204" pitchFamily="18" charset="0"/>
                                <a:ea typeface="+mn-ea"/>
                                <a:cs typeface="+mn-cs"/>
                              </a:rPr>
                              <m:t>𝑑𝑐</m:t>
                            </m:r>
                          </m:sub>
                        </m:sSub>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𝑚𝑊</m:t>
                        </m:r>
                        <m:r>
                          <a:rPr lang="en-CA" sz="1100" b="0" i="1">
                            <a:solidFill>
                              <a:schemeClr val="tx1"/>
                            </a:solidFill>
                            <a:effectLst/>
                            <a:latin typeface="Cambria Math" panose="02040503050406030204" pitchFamily="18" charset="0"/>
                            <a:ea typeface="+mn-ea"/>
                            <a:cs typeface="+mn-cs"/>
                          </a:rPr>
                          <m:t>)</m:t>
                        </m:r>
                      </m:den>
                    </m:f>
                  </m:oMath>
                </m:oMathPara>
              </a14:m>
              <a:endParaRPr lang="en-CA" sz="1100"/>
            </a:p>
          </xdr:txBody>
        </xdr:sp>
      </mc:Choice>
      <mc:Fallback xmlns="">
        <xdr:sp macro="" textlink="">
          <xdr:nvSpPr>
            <xdr:cNvPr id="15" name="TextBox 14">
              <a:extLst>
                <a:ext uri="{FF2B5EF4-FFF2-40B4-BE49-F238E27FC236}">
                  <a16:creationId xmlns:a16="http://schemas.microsoft.com/office/drawing/2014/main" id="{F88D566C-16E3-4EF5-9407-F9E76460DAA2}"/>
                </a:ext>
              </a:extLst>
            </xdr:cNvPr>
            <xdr:cNvSpPr txBox="1"/>
          </xdr:nvSpPr>
          <xdr:spPr>
            <a:xfrm>
              <a:off x="657225" y="5057775"/>
              <a:ext cx="2248629"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𝐹𝑂𝑀11=(𝐺𝑎𝑖𝑛∗𝑓_𝑐 (𝐺ℎ𝑧)∗𝐸𝑆𝐷(𝑘𝑉))/((𝐹−1)∗</a:t>
              </a:r>
              <a:r>
                <a:rPr lang="en-CA" sz="1100" b="0" i="0">
                  <a:solidFill>
                    <a:schemeClr val="tx1"/>
                  </a:solidFill>
                  <a:effectLst/>
                  <a:latin typeface="Cambria Math" panose="02040503050406030204" pitchFamily="18" charset="0"/>
                  <a:ea typeface="+mn-ea"/>
                  <a:cs typeface="+mn-cs"/>
                </a:rPr>
                <a:t>𝑃_𝑑𝑐 (𝑚𝑊))</a:t>
              </a:r>
              <a:endParaRPr lang="en-CA" sz="1100"/>
            </a:p>
          </xdr:txBody>
        </xdr:sp>
      </mc:Fallback>
    </mc:AlternateContent>
    <xdr:clientData/>
  </xdr:oneCellAnchor>
  <xdr:oneCellAnchor>
    <xdr:from>
      <xdr:col>1</xdr:col>
      <xdr:colOff>47625</xdr:colOff>
      <xdr:row>32</xdr:row>
      <xdr:rowOff>95250</xdr:rowOff>
    </xdr:from>
    <xdr:ext cx="1330877" cy="534890"/>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657225" y="5619750"/>
              <a:ext cx="1330877" cy="534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12=</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r>
                          <a:rPr lang="en-CA" sz="1100" b="0" i="1">
                            <a:latin typeface="Cambria Math" panose="02040503050406030204" pitchFamily="18" charset="0"/>
                          </a:rPr>
                          <m:t>𝑑𝐵</m:t>
                        </m:r>
                        <m:r>
                          <a:rPr lang="en-CA" sz="1100" b="0" i="1">
                            <a:latin typeface="Cambria Math" panose="02040503050406030204" pitchFamily="18" charset="0"/>
                          </a:rPr>
                          <m:t>)</m:t>
                        </m:r>
                      </m:num>
                      <m:den>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b="0"/>
            </a:p>
            <a:p>
              <a:endParaRPr lang="en-CA" sz="1100"/>
            </a:p>
          </xdr:txBody>
        </xdr:sp>
      </mc:Choice>
      <mc:Fallback xmlns="">
        <xdr:sp macro="" textlink="">
          <xdr:nvSpPr>
            <xdr:cNvPr id="18" name="TextBox 17">
              <a:extLst>
                <a:ext uri="{FF2B5EF4-FFF2-40B4-BE49-F238E27FC236}">
                  <a16:creationId xmlns:a16="http://schemas.microsoft.com/office/drawing/2014/main" id="{4604C3CA-D990-4EB1-B874-2EE0DAF9C8FE}"/>
                </a:ext>
              </a:extLst>
            </xdr:cNvPr>
            <xdr:cNvSpPr txBox="1"/>
          </xdr:nvSpPr>
          <xdr:spPr>
            <a:xfrm>
              <a:off x="657225" y="5619750"/>
              <a:ext cx="1330877" cy="534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𝐹𝑂𝑀12=(𝐺𝑎𝑖𝑛(𝑑𝐵))/(𝑃_𝑑𝑐 (𝑚𝑊))</a:t>
              </a:r>
              <a:endParaRPr lang="en-CA" sz="1100" b="0"/>
            </a:p>
            <a:p>
              <a:endParaRPr lang="en-CA" sz="1100"/>
            </a:p>
          </xdr:txBody>
        </xdr:sp>
      </mc:Fallback>
    </mc:AlternateContent>
    <xdr:clientData/>
  </xdr:oneCellAnchor>
  <xdr:oneCellAnchor>
    <xdr:from>
      <xdr:col>3</xdr:col>
      <xdr:colOff>381000</xdr:colOff>
      <xdr:row>32</xdr:row>
      <xdr:rowOff>66675</xdr:rowOff>
    </xdr:from>
    <xdr:ext cx="3865610" cy="530402"/>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2209800" y="5591175"/>
              <a:ext cx="3865610" cy="5304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13=</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r>
                          <a:rPr lang="en-CA" sz="1100" b="0" i="1">
                            <a:latin typeface="Cambria Math" panose="02040503050406030204" pitchFamily="18" charset="0"/>
                          </a:rPr>
                          <m:t>𝑙𝑖𝑛𝑒𝑎𝑟</m:t>
                        </m:r>
                        <m:r>
                          <a:rPr lang="en-CA" sz="1100" b="0" i="1">
                            <a:latin typeface="Cambria Math" panose="02040503050406030204" pitchFamily="18" charset="0"/>
                          </a:rPr>
                          <m:t>)</m:t>
                        </m:r>
                      </m:num>
                      <m:den>
                        <m:r>
                          <a:rPr lang="en-CA" sz="1100" b="0" i="1">
                            <a:latin typeface="Cambria Math" panose="02040503050406030204" pitchFamily="18" charset="0"/>
                          </a:rPr>
                          <m:t>(</m:t>
                        </m:r>
                        <m:r>
                          <a:rPr lang="en-CA" sz="1100" b="0" i="1">
                            <a:latin typeface="Cambria Math" panose="02040503050406030204" pitchFamily="18" charset="0"/>
                          </a:rPr>
                          <m:t>𝐹</m:t>
                        </m:r>
                        <m:r>
                          <a:rPr lang="en-CA" sz="1100" b="0" i="1">
                            <a:latin typeface="Cambria Math" panose="02040503050406030204" pitchFamily="18" charset="0"/>
                          </a:rPr>
                          <m:t>−1)∗</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r>
                      <a:rPr lang="en-CA" sz="1100" b="0" i="0">
                        <a:latin typeface="Cambria Math" panose="02040503050406030204" pitchFamily="18" charset="0"/>
                      </a:rPr>
                      <m:t>, </m:t>
                    </m:r>
                    <m:r>
                      <m:rPr>
                        <m:sty m:val="p"/>
                      </m:rPr>
                      <a:rPr lang="en-CA" sz="1100" b="0" i="0">
                        <a:latin typeface="Cambria Math" panose="02040503050406030204" pitchFamily="18" charset="0"/>
                      </a:rPr>
                      <m:t>where</m:t>
                    </m:r>
                    <m:r>
                      <a:rPr lang="en-CA" sz="1100" b="0" i="0">
                        <a:latin typeface="Cambria Math" panose="02040503050406030204" pitchFamily="18" charset="0"/>
                      </a:rPr>
                      <m:t> </m:t>
                    </m:r>
                    <m:r>
                      <m:rPr>
                        <m:sty m:val="p"/>
                      </m:rPr>
                      <a:rPr lang="en-CA" sz="1100" b="0" i="0">
                        <a:latin typeface="Cambria Math" panose="02040503050406030204" pitchFamily="18" charset="0"/>
                      </a:rPr>
                      <m:t>gain</m:t>
                    </m:r>
                    <m:d>
                      <m:dPr>
                        <m:ctrlPr>
                          <a:rPr lang="en-CA" sz="1100" b="0" i="1">
                            <a:latin typeface="Cambria Math" panose="02040503050406030204" pitchFamily="18" charset="0"/>
                          </a:rPr>
                        </m:ctrlPr>
                      </m:dPr>
                      <m:e>
                        <m:r>
                          <m:rPr>
                            <m:sty m:val="p"/>
                          </m:rPr>
                          <a:rPr lang="en-CA" sz="1100" b="0" i="0">
                            <a:latin typeface="Cambria Math" panose="02040503050406030204" pitchFamily="18" charset="0"/>
                          </a:rPr>
                          <m:t>linear</m:t>
                        </m:r>
                      </m:e>
                    </m:d>
                    <m:r>
                      <a:rPr lang="en-CA" sz="1100" b="0" i="0">
                        <a:latin typeface="Cambria Math" panose="02040503050406030204" pitchFamily="18" charset="0"/>
                      </a:rPr>
                      <m:t>=</m:t>
                    </m:r>
                    <m:sSup>
                      <m:sSupPr>
                        <m:ctrlPr>
                          <a:rPr lang="en-CA" sz="1100" b="0" i="1">
                            <a:latin typeface="Cambria Math" panose="02040503050406030204" pitchFamily="18" charset="0"/>
                          </a:rPr>
                        </m:ctrlPr>
                      </m:sSupPr>
                      <m:e>
                        <m:r>
                          <a:rPr lang="en-CA" sz="1100" b="0" i="0">
                            <a:latin typeface="Cambria Math" panose="02040503050406030204" pitchFamily="18" charset="0"/>
                          </a:rPr>
                          <m:t>10</m:t>
                        </m:r>
                      </m:e>
                      <m:sup>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r>
                              <a:rPr lang="en-CA" sz="1100" b="0" i="1">
                                <a:latin typeface="Cambria Math" panose="02040503050406030204" pitchFamily="18" charset="0"/>
                              </a:rPr>
                              <m:t>𝑑𝐵</m:t>
                            </m:r>
                            <m:r>
                              <a:rPr lang="en-CA" sz="1100" b="0" i="1">
                                <a:latin typeface="Cambria Math" panose="02040503050406030204" pitchFamily="18" charset="0"/>
                              </a:rPr>
                              <m:t>)</m:t>
                            </m:r>
                          </m:num>
                          <m:den>
                            <m:r>
                              <a:rPr lang="en-CA" sz="1100" b="0" i="1">
                                <a:latin typeface="Cambria Math" panose="02040503050406030204" pitchFamily="18" charset="0"/>
                              </a:rPr>
                              <m:t>20</m:t>
                            </m:r>
                          </m:den>
                        </m:f>
                      </m:sup>
                    </m:sSup>
                  </m:oMath>
                </m:oMathPara>
              </a14:m>
              <a:endParaRPr lang="en-CA" sz="1100" b="0"/>
            </a:p>
            <a:p>
              <a:endParaRPr lang="en-CA" sz="1100"/>
            </a:p>
          </xdr:txBody>
        </xdr:sp>
      </mc:Choice>
      <mc:Fallback xmlns="">
        <xdr:sp macro="" textlink="">
          <xdr:nvSpPr>
            <xdr:cNvPr id="19" name="TextBox 18">
              <a:extLst>
                <a:ext uri="{FF2B5EF4-FFF2-40B4-BE49-F238E27FC236}">
                  <a16:creationId xmlns:a16="http://schemas.microsoft.com/office/drawing/2014/main" id="{93E6E307-D4AA-47EF-B6B3-A5803818D305}"/>
                </a:ext>
              </a:extLst>
            </xdr:cNvPr>
            <xdr:cNvSpPr txBox="1"/>
          </xdr:nvSpPr>
          <xdr:spPr>
            <a:xfrm>
              <a:off x="2209800" y="5591175"/>
              <a:ext cx="3865610" cy="5304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𝐹𝑂𝑀13=(𝐺𝑎𝑖𝑛(𝑙𝑖𝑛𝑒𝑎𝑟))/((𝐹−1)∗𝑃_𝑑𝑐 (𝑚𝑊)), where gain(linear)=10^((𝐺𝑎𝑖𝑛(𝑑𝐵))/20)</a:t>
              </a:r>
              <a:endParaRPr lang="en-CA" sz="1100" b="0"/>
            </a:p>
            <a:p>
              <a:endParaRPr lang="en-CA" sz="1100"/>
            </a:p>
          </xdr:txBody>
        </xdr:sp>
      </mc:Fallback>
    </mc:AlternateContent>
    <xdr:clientData/>
  </xdr:oneCellAnchor>
  <xdr:oneCellAnchor>
    <xdr:from>
      <xdr:col>1</xdr:col>
      <xdr:colOff>76200</xdr:colOff>
      <xdr:row>35</xdr:row>
      <xdr:rowOff>47625</xdr:rowOff>
    </xdr:from>
    <xdr:ext cx="4589718" cy="358944"/>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685800" y="6715125"/>
              <a:ext cx="4589718" cy="358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14=</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d>
                          <m:dPr>
                            <m:ctrlPr>
                              <a:rPr lang="en-CA" sz="1100" b="0" i="1">
                                <a:latin typeface="Cambria Math" panose="02040503050406030204" pitchFamily="18" charset="0"/>
                              </a:rPr>
                            </m:ctrlPr>
                          </m:dPr>
                          <m:e>
                            <m:r>
                              <a:rPr lang="en-CA" sz="1100" b="0" i="1">
                                <a:latin typeface="Cambria Math" panose="02040503050406030204" pitchFamily="18" charset="0"/>
                              </a:rPr>
                              <m:t>𝑙𝑖𝑛𝑒𝑎𝑟</m:t>
                            </m:r>
                          </m:e>
                        </m:d>
                        <m:r>
                          <a:rPr lang="en-CA" sz="1100" b="0" i="1">
                            <a:latin typeface="Cambria Math" panose="02040503050406030204" pitchFamily="18" charset="0"/>
                          </a:rPr>
                          <m:t>∗</m:t>
                        </m:r>
                        <m:r>
                          <a:rPr lang="en-CA" sz="1100" b="0" i="1">
                            <a:latin typeface="Cambria Math" panose="02040503050406030204" pitchFamily="18" charset="0"/>
                          </a:rPr>
                          <m:t>𝐵𝑊</m:t>
                        </m:r>
                        <m:d>
                          <m:dPr>
                            <m:ctrlPr>
                              <a:rPr lang="en-CA" sz="1100" b="0" i="1">
                                <a:latin typeface="Cambria Math" panose="02040503050406030204" pitchFamily="18" charset="0"/>
                              </a:rPr>
                            </m:ctrlPr>
                          </m:dPr>
                          <m:e>
                            <m:r>
                              <a:rPr lang="en-CA" sz="1100" b="0" i="1">
                                <a:latin typeface="Cambria Math" panose="02040503050406030204" pitchFamily="18" charset="0"/>
                              </a:rPr>
                              <m:t>𝐺𝐻𝑧</m:t>
                            </m:r>
                          </m:e>
                        </m:d>
                        <m:r>
                          <a:rPr lang="en-CA" sz="1100" b="0" i="1">
                            <a:latin typeface="Cambria Math" panose="02040503050406030204" pitchFamily="18" charset="0"/>
                          </a:rPr>
                          <m:t>∗</m:t>
                        </m:r>
                        <m:r>
                          <a:rPr lang="en-CA" sz="1100" b="0" i="1">
                            <a:latin typeface="Cambria Math" panose="02040503050406030204" pitchFamily="18" charset="0"/>
                          </a:rPr>
                          <m:t>𝑂𝐼𝑃</m:t>
                        </m:r>
                        <m:r>
                          <a:rPr lang="en-CA" sz="1100" b="0" i="1">
                            <a:latin typeface="Cambria Math" panose="02040503050406030204" pitchFamily="18" charset="0"/>
                          </a:rPr>
                          <m:t>3(</m:t>
                        </m:r>
                        <m:r>
                          <a:rPr lang="en-CA" sz="1100" b="0" i="1">
                            <a:latin typeface="Cambria Math" panose="02040503050406030204" pitchFamily="18" charset="0"/>
                          </a:rPr>
                          <m:t>𝑚𝑊</m:t>
                        </m:r>
                        <m:r>
                          <a:rPr lang="en-CA" sz="1100" b="0" i="1">
                            <a:latin typeface="Cambria Math" panose="02040503050406030204" pitchFamily="18" charset="0"/>
                          </a:rPr>
                          <m:t>)</m:t>
                        </m:r>
                      </m:num>
                      <m:den>
                        <m:r>
                          <a:rPr lang="en-CA" sz="1100" b="0" i="1">
                            <a:latin typeface="Cambria Math" panose="02040503050406030204" pitchFamily="18" charset="0"/>
                          </a:rPr>
                          <m:t>[</m:t>
                        </m:r>
                        <m:r>
                          <a:rPr lang="en-CA" sz="1100" b="0" i="1">
                            <a:latin typeface="Cambria Math" panose="02040503050406030204" pitchFamily="18" charset="0"/>
                          </a:rPr>
                          <m:t>𝐹</m:t>
                        </m:r>
                        <m:r>
                          <a:rPr lang="en-CA" sz="1100" b="0" i="1">
                            <a:latin typeface="Cambria Math" panose="02040503050406030204" pitchFamily="18" charset="0"/>
                          </a:rPr>
                          <m:t>−1]∗</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r>
                      <a:rPr lang="en-CA" sz="1100" b="0" i="0">
                        <a:latin typeface="Cambria Math" panose="02040503050406030204" pitchFamily="18" charset="0"/>
                      </a:rPr>
                      <m:t>, </m:t>
                    </m:r>
                    <m:r>
                      <m:rPr>
                        <m:sty m:val="p"/>
                      </m:rPr>
                      <a:rPr lang="en-CA" sz="1100" b="0" i="0">
                        <a:latin typeface="Cambria Math" panose="02040503050406030204" pitchFamily="18" charset="0"/>
                      </a:rPr>
                      <m:t>where</m:t>
                    </m:r>
                    <m:r>
                      <a:rPr lang="en-CA" sz="1100" b="0" i="0">
                        <a:latin typeface="Cambria Math" panose="02040503050406030204" pitchFamily="18" charset="0"/>
                      </a:rPr>
                      <m:t> </m:t>
                    </m:r>
                    <m:r>
                      <m:rPr>
                        <m:sty m:val="p"/>
                      </m:rPr>
                      <a:rPr lang="en-CA" sz="1100" b="0" i="0">
                        <a:latin typeface="Cambria Math" panose="02040503050406030204" pitchFamily="18" charset="0"/>
                      </a:rPr>
                      <m:t>gain</m:t>
                    </m:r>
                    <m:r>
                      <a:rPr lang="en-CA" sz="1100" b="0" i="0">
                        <a:latin typeface="Cambria Math" panose="02040503050406030204" pitchFamily="18" charset="0"/>
                      </a:rPr>
                      <m:t>=</m:t>
                    </m:r>
                    <m:sSup>
                      <m:sSupPr>
                        <m:ctrlPr>
                          <a:rPr lang="en-CA" sz="1100" b="0" i="1">
                            <a:latin typeface="Cambria Math" panose="02040503050406030204" pitchFamily="18" charset="0"/>
                          </a:rPr>
                        </m:ctrlPr>
                      </m:sSupPr>
                      <m:e>
                        <m:r>
                          <a:rPr lang="en-CA" sz="1100" b="0" i="0">
                            <a:latin typeface="Cambria Math" panose="02040503050406030204" pitchFamily="18" charset="0"/>
                          </a:rPr>
                          <m:t>10</m:t>
                        </m:r>
                      </m:e>
                      <m:sup>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r>
                              <a:rPr lang="en-CA" sz="1100" b="0" i="1">
                                <a:latin typeface="Cambria Math" panose="02040503050406030204" pitchFamily="18" charset="0"/>
                              </a:rPr>
                              <m:t>𝑑𝐵</m:t>
                            </m:r>
                            <m:r>
                              <a:rPr lang="en-CA" sz="1100" b="0" i="1">
                                <a:latin typeface="Cambria Math" panose="02040503050406030204" pitchFamily="18" charset="0"/>
                              </a:rPr>
                              <m:t>)</m:t>
                            </m:r>
                          </m:num>
                          <m:den>
                            <m:r>
                              <a:rPr lang="en-CA" sz="1100" b="0" i="1">
                                <a:latin typeface="Cambria Math" panose="02040503050406030204" pitchFamily="18" charset="0"/>
                              </a:rPr>
                              <m:t>20</m:t>
                            </m:r>
                          </m:den>
                        </m:f>
                      </m:sup>
                    </m:sSup>
                  </m:oMath>
                </m:oMathPara>
              </a14:m>
              <a:endParaRPr lang="en-CA" sz="1100"/>
            </a:p>
          </xdr:txBody>
        </xdr:sp>
      </mc:Choice>
      <mc:Fallback xmlns="">
        <xdr:sp macro="" textlink="">
          <xdr:nvSpPr>
            <xdr:cNvPr id="20" name="TextBox 19">
              <a:extLst>
                <a:ext uri="{FF2B5EF4-FFF2-40B4-BE49-F238E27FC236}">
                  <a16:creationId xmlns:a16="http://schemas.microsoft.com/office/drawing/2014/main" id="{0846AE89-B358-4486-A60E-7AB1BC459EC2}"/>
                </a:ext>
              </a:extLst>
            </xdr:cNvPr>
            <xdr:cNvSpPr txBox="1"/>
          </xdr:nvSpPr>
          <xdr:spPr>
            <a:xfrm>
              <a:off x="685800" y="6715125"/>
              <a:ext cx="4589718" cy="358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𝐹𝑂𝑀14=(𝐺𝑎𝑖𝑛(𝑙𝑖𝑛𝑒𝑎𝑟)∗𝐵𝑊(𝐺𝐻𝑧)∗𝑂𝐼𝑃3(𝑚𝑊))/([𝐹−1]∗𝑃_𝑑𝑐 (𝑚𝑊)), where gain=10^((𝐺𝑎𝑖𝑛(𝑑𝐵))/20)</a:t>
              </a:r>
              <a:endParaRPr lang="en-CA" sz="1100"/>
            </a:p>
          </xdr:txBody>
        </xdr:sp>
      </mc:Fallback>
    </mc:AlternateContent>
    <xdr:clientData/>
  </xdr:oneCellAnchor>
  <xdr:oneCellAnchor>
    <xdr:from>
      <xdr:col>1</xdr:col>
      <xdr:colOff>76200</xdr:colOff>
      <xdr:row>50</xdr:row>
      <xdr:rowOff>161925</xdr:rowOff>
    </xdr:from>
    <xdr:ext cx="1833259" cy="352469"/>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685800" y="9686925"/>
              <a:ext cx="1833259"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20=</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r>
                          <a:rPr lang="en-CA" sz="1100" b="0" i="1">
                            <a:latin typeface="Cambria Math" panose="02040503050406030204" pitchFamily="18" charset="0"/>
                          </a:rPr>
                          <m:t>𝑑𝐵</m:t>
                        </m:r>
                        <m:r>
                          <a:rPr lang="en-CA" sz="1100" b="0" i="1">
                            <a:latin typeface="Cambria Math" panose="02040503050406030204" pitchFamily="18" charset="0"/>
                          </a:rPr>
                          <m:t>)</m:t>
                        </m:r>
                      </m:num>
                      <m:den>
                        <m:d>
                          <m:dPr>
                            <m:ctrlPr>
                              <a:rPr lang="en-CA" sz="1100" b="0" i="1">
                                <a:latin typeface="Cambria Math" panose="02040503050406030204" pitchFamily="18" charset="0"/>
                              </a:rPr>
                            </m:ctrlPr>
                          </m:dPr>
                          <m:e>
                            <m:r>
                              <a:rPr lang="en-CA" sz="1100" b="0" i="1">
                                <a:latin typeface="Cambria Math" panose="02040503050406030204" pitchFamily="18" charset="0"/>
                              </a:rPr>
                              <m:t>𝐹</m:t>
                            </m:r>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𝑃</m:t>
                            </m:r>
                          </m:e>
                          <m:sub>
                            <m:r>
                              <a:rPr lang="en-CA" sz="1100" b="0" i="1">
                                <a:solidFill>
                                  <a:schemeClr val="tx1"/>
                                </a:solidFill>
                                <a:effectLst/>
                                <a:latin typeface="Cambria Math" panose="02040503050406030204" pitchFamily="18" charset="0"/>
                                <a:ea typeface="+mn-ea"/>
                                <a:cs typeface="+mn-cs"/>
                              </a:rPr>
                              <m:t>𝑑𝑐</m:t>
                            </m:r>
                          </m:sub>
                        </m:sSub>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𝑚𝑊</m:t>
                        </m:r>
                        <m:r>
                          <a:rPr lang="en-CA" sz="1100" b="0" i="1">
                            <a:solidFill>
                              <a:schemeClr val="tx1"/>
                            </a:solidFill>
                            <a:effectLst/>
                            <a:latin typeface="Cambria Math" panose="02040503050406030204" pitchFamily="18" charset="0"/>
                            <a:ea typeface="+mn-ea"/>
                            <a:cs typeface="+mn-cs"/>
                          </a:rPr>
                          <m:t>)</m:t>
                        </m:r>
                      </m:den>
                    </m:f>
                  </m:oMath>
                </m:oMathPara>
              </a14:m>
              <a:endParaRPr lang="en-CA" sz="1100"/>
            </a:p>
          </xdr:txBody>
        </xdr:sp>
      </mc:Choice>
      <mc:Fallback xmlns="">
        <xdr:sp macro="" textlink="">
          <xdr:nvSpPr>
            <xdr:cNvPr id="22" name="TextBox 21">
              <a:extLst>
                <a:ext uri="{FF2B5EF4-FFF2-40B4-BE49-F238E27FC236}">
                  <a16:creationId xmlns:a16="http://schemas.microsoft.com/office/drawing/2014/main" id="{B8472EC9-FEA3-4B7F-BFC0-BB123643CC23}"/>
                </a:ext>
              </a:extLst>
            </xdr:cNvPr>
            <xdr:cNvSpPr txBox="1"/>
          </xdr:nvSpPr>
          <xdr:spPr>
            <a:xfrm>
              <a:off x="685800" y="9686925"/>
              <a:ext cx="1833259"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𝐹𝑂𝑀20=(𝐺𝑎𝑖𝑛(𝑑𝐵))/((𝐹−1)∗</a:t>
              </a:r>
              <a:r>
                <a:rPr lang="en-CA" sz="1100" b="0" i="0">
                  <a:solidFill>
                    <a:schemeClr val="tx1"/>
                  </a:solidFill>
                  <a:effectLst/>
                  <a:latin typeface="Cambria Math" panose="02040503050406030204" pitchFamily="18" charset="0"/>
                  <a:ea typeface="+mn-ea"/>
                  <a:cs typeface="+mn-cs"/>
                </a:rPr>
                <a:t>𝑃_𝑑𝑐 (𝑚𝑊))</a:t>
              </a:r>
              <a:endParaRPr lang="en-CA" sz="1100"/>
            </a:p>
          </xdr:txBody>
        </xdr:sp>
      </mc:Fallback>
    </mc:AlternateContent>
    <xdr:clientData/>
  </xdr:oneCellAnchor>
  <xdr:oneCellAnchor>
    <xdr:from>
      <xdr:col>4</xdr:col>
      <xdr:colOff>428625</xdr:colOff>
      <xdr:row>50</xdr:row>
      <xdr:rowOff>142875</xdr:rowOff>
    </xdr:from>
    <xdr:ext cx="1363835" cy="524695"/>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2867025" y="9667875"/>
              <a:ext cx="1363835" cy="524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21=</m:t>
                    </m:r>
                    <m:f>
                      <m:fPr>
                        <m:ctrlPr>
                          <a:rPr lang="en-CA" sz="1100" b="0" i="1">
                            <a:latin typeface="Cambria Math" panose="02040503050406030204" pitchFamily="18" charset="0"/>
                          </a:rPr>
                        </m:ctrlPr>
                      </m:fPr>
                      <m:num>
                        <m:r>
                          <a:rPr lang="en-CA" sz="1100" b="0" i="1">
                            <a:latin typeface="Cambria Math" panose="02040503050406030204" pitchFamily="18" charset="0"/>
                          </a:rPr>
                          <m:t>𝑂𝐼𝑃</m:t>
                        </m:r>
                        <m:r>
                          <a:rPr lang="en-CA" sz="1100" b="0" i="1">
                            <a:latin typeface="Cambria Math" panose="02040503050406030204" pitchFamily="18" charset="0"/>
                          </a:rPr>
                          <m:t>3(</m:t>
                        </m:r>
                        <m:r>
                          <a:rPr lang="en-CA" sz="1100" b="0" i="1">
                            <a:latin typeface="Cambria Math" panose="02040503050406030204" pitchFamily="18" charset="0"/>
                          </a:rPr>
                          <m:t>𝑚𝑊</m:t>
                        </m:r>
                        <m:r>
                          <a:rPr lang="en-CA" sz="1100" b="0" i="1">
                            <a:latin typeface="Cambria Math" panose="02040503050406030204" pitchFamily="18" charset="0"/>
                          </a:rPr>
                          <m:t>)</m:t>
                        </m:r>
                      </m:num>
                      <m:den>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𝑃</m:t>
                            </m:r>
                          </m:e>
                          <m:sub>
                            <m:r>
                              <a:rPr lang="en-CA" sz="1100" b="0" i="1">
                                <a:solidFill>
                                  <a:schemeClr val="tx1"/>
                                </a:solidFill>
                                <a:effectLst/>
                                <a:latin typeface="Cambria Math" panose="02040503050406030204" pitchFamily="18" charset="0"/>
                                <a:ea typeface="+mn-ea"/>
                                <a:cs typeface="+mn-cs"/>
                              </a:rPr>
                              <m:t>𝑑𝑐</m:t>
                            </m:r>
                          </m:sub>
                        </m:sSub>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𝑚𝑊</m:t>
                        </m:r>
                        <m:r>
                          <a:rPr lang="en-CA" sz="1100" b="0" i="1">
                            <a:solidFill>
                              <a:schemeClr val="tx1"/>
                            </a:solidFill>
                            <a:effectLst/>
                            <a:latin typeface="Cambria Math" panose="02040503050406030204" pitchFamily="18" charset="0"/>
                            <a:ea typeface="+mn-ea"/>
                            <a:cs typeface="+mn-cs"/>
                          </a:rPr>
                          <m:t>)</m:t>
                        </m:r>
                      </m:den>
                    </m:f>
                  </m:oMath>
                </m:oMathPara>
              </a14:m>
              <a:endParaRPr lang="en-CA" sz="1100" b="0"/>
            </a:p>
            <a:p>
              <a:endParaRPr lang="en-CA" sz="1100"/>
            </a:p>
          </xdr:txBody>
        </xdr:sp>
      </mc:Choice>
      <mc:Fallback xmlns="">
        <xdr:sp macro="" textlink="">
          <xdr:nvSpPr>
            <xdr:cNvPr id="23" name="TextBox 22">
              <a:extLst>
                <a:ext uri="{FF2B5EF4-FFF2-40B4-BE49-F238E27FC236}">
                  <a16:creationId xmlns:a16="http://schemas.microsoft.com/office/drawing/2014/main" id="{7089FB93-D27C-4E7D-96BB-4CD71B27B867}"/>
                </a:ext>
              </a:extLst>
            </xdr:cNvPr>
            <xdr:cNvSpPr txBox="1"/>
          </xdr:nvSpPr>
          <xdr:spPr>
            <a:xfrm>
              <a:off x="2867025" y="9667875"/>
              <a:ext cx="1363835" cy="524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𝐹𝑂𝑀21=(𝑂𝐼𝑃3(𝑚𝑊))/(</a:t>
              </a:r>
              <a:r>
                <a:rPr lang="en-CA" sz="1100" b="0" i="0">
                  <a:solidFill>
                    <a:schemeClr val="tx1"/>
                  </a:solidFill>
                  <a:effectLst/>
                  <a:latin typeface="Cambria Math" panose="02040503050406030204" pitchFamily="18" charset="0"/>
                  <a:ea typeface="+mn-ea"/>
                  <a:cs typeface="+mn-cs"/>
                </a:rPr>
                <a:t>𝑃_𝑑𝑐 (𝑚𝑊))</a:t>
              </a:r>
              <a:endParaRPr lang="en-CA" sz="1100" b="0"/>
            </a:p>
            <a:p>
              <a:endParaRPr lang="en-CA" sz="1100"/>
            </a:p>
          </xdr:txBody>
        </xdr:sp>
      </mc:Fallback>
    </mc:AlternateContent>
    <xdr:clientData/>
  </xdr:oneCellAnchor>
  <xdr:oneCellAnchor>
    <xdr:from>
      <xdr:col>1</xdr:col>
      <xdr:colOff>57150</xdr:colOff>
      <xdr:row>53</xdr:row>
      <xdr:rowOff>157162</xdr:rowOff>
    </xdr:from>
    <xdr:ext cx="2191497" cy="530786"/>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666750" y="10253662"/>
              <a:ext cx="2191497" cy="530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22=</m:t>
                    </m:r>
                    <m:f>
                      <m:fPr>
                        <m:ctrlPr>
                          <a:rPr lang="en-CA" sz="1100" b="0" i="1">
                            <a:latin typeface="Cambria Math" panose="02040503050406030204" pitchFamily="18" charset="0"/>
                          </a:rPr>
                        </m:ctrlPr>
                      </m:fPr>
                      <m:num>
                        <m:r>
                          <a:rPr lang="en-CA" sz="1100" b="0" i="1">
                            <a:solidFill>
                              <a:schemeClr val="tx1"/>
                            </a:solidFill>
                            <a:effectLst/>
                            <a:latin typeface="Cambria Math" panose="02040503050406030204" pitchFamily="18" charset="0"/>
                            <a:ea typeface="+mn-ea"/>
                            <a:cs typeface="+mn-cs"/>
                          </a:rPr>
                          <m:t>𝑂𝐼𝑃</m:t>
                        </m:r>
                        <m:r>
                          <a:rPr lang="en-CA" sz="1100" b="0" i="1">
                            <a:solidFill>
                              <a:schemeClr val="tx1"/>
                            </a:solidFill>
                            <a:effectLst/>
                            <a:latin typeface="Cambria Math" panose="02040503050406030204" pitchFamily="18" charset="0"/>
                            <a:ea typeface="+mn-ea"/>
                            <a:cs typeface="+mn-cs"/>
                          </a:rPr>
                          <m:t>3</m:t>
                        </m:r>
                        <m:d>
                          <m:dPr>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𝑚𝑊</m:t>
                            </m:r>
                          </m:e>
                        </m:d>
                        <m:r>
                          <a:rPr lang="en-CA" sz="1100" b="0" i="1">
                            <a:solidFill>
                              <a:schemeClr val="tx1"/>
                            </a:solidFill>
                            <a:effectLst/>
                            <a:latin typeface="Cambria Math" panose="02040503050406030204" pitchFamily="18" charset="0"/>
                            <a:ea typeface="+mn-ea"/>
                            <a:cs typeface="+mn-cs"/>
                          </a:rPr>
                          <m:t>∗</m:t>
                        </m:r>
                        <m:r>
                          <a:rPr lang="en-CA" sz="1100" b="0" i="1">
                            <a:latin typeface="Cambria Math" panose="02040503050406030204" pitchFamily="18" charset="0"/>
                          </a:rPr>
                          <m:t>𝐹𝑟𝑒𝑞</m:t>
                        </m:r>
                        <m:d>
                          <m:dPr>
                            <m:ctrlPr>
                              <a:rPr lang="en-CA" sz="1100" b="0" i="1">
                                <a:latin typeface="Cambria Math" panose="02040503050406030204" pitchFamily="18" charset="0"/>
                              </a:rPr>
                            </m:ctrlPr>
                          </m:dPr>
                          <m:e>
                            <m:r>
                              <a:rPr lang="en-CA" sz="1100" b="0" i="1">
                                <a:latin typeface="Cambria Math" panose="02040503050406030204" pitchFamily="18" charset="0"/>
                              </a:rPr>
                              <m:t>𝐺h𝑧</m:t>
                            </m:r>
                          </m:e>
                        </m:d>
                      </m:num>
                      <m:den>
                        <m:d>
                          <m:dPr>
                            <m:ctrlPr>
                              <a:rPr lang="en-CA" sz="1100" b="0" i="1">
                                <a:latin typeface="Cambria Math" panose="02040503050406030204" pitchFamily="18" charset="0"/>
                              </a:rPr>
                            </m:ctrlPr>
                          </m:dPr>
                          <m:e>
                            <m:r>
                              <a:rPr lang="en-CA" sz="1100" b="0" i="1">
                                <a:latin typeface="Cambria Math" panose="02040503050406030204" pitchFamily="18" charset="0"/>
                              </a:rPr>
                              <m:t>𝐹</m:t>
                            </m:r>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b="0"/>
            </a:p>
            <a:p>
              <a:endParaRPr lang="en-CA" sz="1100"/>
            </a:p>
          </xdr:txBody>
        </xdr:sp>
      </mc:Choice>
      <mc:Fallback xmlns="">
        <xdr:sp macro="" textlink="">
          <xdr:nvSpPr>
            <xdr:cNvPr id="21" name="TextBox 20">
              <a:extLst>
                <a:ext uri="{FF2B5EF4-FFF2-40B4-BE49-F238E27FC236}">
                  <a16:creationId xmlns:a16="http://schemas.microsoft.com/office/drawing/2014/main" id="{EB8DDE16-702E-46D5-A864-D65C0BE57FA1}"/>
                </a:ext>
              </a:extLst>
            </xdr:cNvPr>
            <xdr:cNvSpPr txBox="1"/>
          </xdr:nvSpPr>
          <xdr:spPr>
            <a:xfrm>
              <a:off x="666750" y="10253662"/>
              <a:ext cx="2191497" cy="530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𝐹𝑂𝑀22=(</a:t>
              </a:r>
              <a:r>
                <a:rPr lang="en-CA" sz="1100" b="0" i="0">
                  <a:solidFill>
                    <a:schemeClr val="tx1"/>
                  </a:solidFill>
                  <a:effectLst/>
                  <a:latin typeface="+mn-lt"/>
                  <a:ea typeface="+mn-ea"/>
                  <a:cs typeface="+mn-cs"/>
                </a:rPr>
                <a:t>𝑂𝐼𝑃3(𝑚𝑊)∗</a:t>
              </a:r>
              <a:r>
                <a:rPr lang="en-CA" sz="1100" b="0" i="0">
                  <a:latin typeface="Cambria Math" panose="02040503050406030204" pitchFamily="18" charset="0"/>
                </a:rPr>
                <a:t>𝐹𝑟𝑒𝑞(𝐺ℎ𝑧))/((𝐹−1)∗𝑃_𝑑𝑐 (𝑚𝑊))</a:t>
              </a:r>
              <a:endParaRPr lang="en-CA" sz="1100" b="0"/>
            </a:p>
            <a:p>
              <a:endParaRPr lang="en-CA" sz="1100"/>
            </a:p>
          </xdr:txBody>
        </xdr:sp>
      </mc:Fallback>
    </mc:AlternateContent>
    <xdr:clientData/>
  </xdr:oneCellAnchor>
  <xdr:oneCellAnchor>
    <xdr:from>
      <xdr:col>1</xdr:col>
      <xdr:colOff>85725</xdr:colOff>
      <xdr:row>56</xdr:row>
      <xdr:rowOff>95250</xdr:rowOff>
    </xdr:from>
    <xdr:ext cx="2940164" cy="358881"/>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695325" y="10763250"/>
              <a:ext cx="2940164" cy="358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23=</m:t>
                    </m:r>
                    <m:f>
                      <m:fPr>
                        <m:ctrlPr>
                          <a:rPr lang="en-CA" sz="1100" b="0" i="1">
                            <a:solidFill>
                              <a:schemeClr val="tx1"/>
                            </a:solidFill>
                            <a:effectLst/>
                            <a:latin typeface="Cambria Math" panose="02040503050406030204" pitchFamily="18" charset="0"/>
                            <a:ea typeface="+mn-ea"/>
                            <a:cs typeface="+mn-cs"/>
                          </a:rPr>
                        </m:ctrlPr>
                      </m:fPr>
                      <m:num>
                        <m:r>
                          <a:rPr lang="en-CA" sz="1100" b="0" i="1">
                            <a:solidFill>
                              <a:schemeClr val="tx1"/>
                            </a:solidFill>
                            <a:effectLst/>
                            <a:latin typeface="Cambria Math" panose="02040503050406030204" pitchFamily="18" charset="0"/>
                            <a:ea typeface="+mn-ea"/>
                            <a:cs typeface="+mn-cs"/>
                          </a:rPr>
                          <m:t>𝐼𝐼𝑃</m:t>
                        </m:r>
                        <m:r>
                          <a:rPr lang="en-CA" sz="1100" b="0" i="1">
                            <a:solidFill>
                              <a:schemeClr val="tx1"/>
                            </a:solidFill>
                            <a:effectLst/>
                            <a:latin typeface="Cambria Math" panose="02040503050406030204" pitchFamily="18" charset="0"/>
                            <a:ea typeface="+mn-ea"/>
                            <a:cs typeface="+mn-cs"/>
                          </a:rPr>
                          <m:t>3</m:t>
                        </m:r>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𝑚𝑊</m:t>
                            </m:r>
                          </m:e>
                        </m:d>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𝐺𝑎𝑖𝑛</m:t>
                        </m:r>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𝑙𝑖𝑛𝑒𝑎𝑟</m:t>
                            </m:r>
                          </m:e>
                        </m:d>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𝐵𝑊</m:t>
                        </m:r>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𝐺𝐻𝑧</m:t>
                        </m:r>
                        <m:r>
                          <a:rPr lang="en-CA" sz="1100" b="0" i="1">
                            <a:solidFill>
                              <a:schemeClr val="tx1"/>
                            </a:solidFill>
                            <a:effectLst/>
                            <a:latin typeface="Cambria Math" panose="02040503050406030204" pitchFamily="18" charset="0"/>
                            <a:ea typeface="+mn-ea"/>
                            <a:cs typeface="+mn-cs"/>
                          </a:rPr>
                          <m:t>]</m:t>
                        </m:r>
                      </m:num>
                      <m:den>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𝑃</m:t>
                            </m:r>
                          </m:e>
                          <m:sub>
                            <m:r>
                              <a:rPr lang="en-CA" sz="1100" b="0" i="1">
                                <a:solidFill>
                                  <a:schemeClr val="tx1"/>
                                </a:solidFill>
                                <a:effectLst/>
                                <a:latin typeface="Cambria Math" panose="02040503050406030204" pitchFamily="18" charset="0"/>
                                <a:ea typeface="+mn-ea"/>
                                <a:cs typeface="+mn-cs"/>
                              </a:rPr>
                              <m:t>𝑑𝑐</m:t>
                            </m:r>
                          </m:sub>
                        </m:sSub>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𝑚𝑊</m:t>
                            </m:r>
                          </m:e>
                        </m:d>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𝐹</m:t>
                        </m:r>
                        <m:r>
                          <a:rPr lang="en-CA" sz="1100" b="0" i="1">
                            <a:solidFill>
                              <a:schemeClr val="tx1"/>
                            </a:solidFill>
                            <a:effectLst/>
                            <a:latin typeface="Cambria Math" panose="02040503050406030204" pitchFamily="18" charset="0"/>
                            <a:ea typeface="+mn-ea"/>
                            <a:cs typeface="+mn-cs"/>
                          </a:rPr>
                          <m:t>−1)</m:t>
                        </m:r>
                      </m:den>
                    </m:f>
                  </m:oMath>
                </m:oMathPara>
              </a14:m>
              <a:endParaRPr lang="en-CA" sz="1100"/>
            </a:p>
          </xdr:txBody>
        </xdr:sp>
      </mc:Choice>
      <mc:Fallback xmlns="">
        <xdr:sp macro="" textlink="">
          <xdr:nvSpPr>
            <xdr:cNvPr id="24" name="TextBox 23">
              <a:extLst>
                <a:ext uri="{FF2B5EF4-FFF2-40B4-BE49-F238E27FC236}">
                  <a16:creationId xmlns:a16="http://schemas.microsoft.com/office/drawing/2014/main" id="{30BB07D4-D79C-4959-A21C-45E6FE1022AD}"/>
                </a:ext>
              </a:extLst>
            </xdr:cNvPr>
            <xdr:cNvSpPr txBox="1"/>
          </xdr:nvSpPr>
          <xdr:spPr>
            <a:xfrm>
              <a:off x="695325" y="10763250"/>
              <a:ext cx="2940164" cy="358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𝐹𝑂𝑀23=</a:t>
              </a:r>
              <a:r>
                <a:rPr lang="en-CA" sz="1100" b="0" i="0">
                  <a:solidFill>
                    <a:schemeClr val="tx1"/>
                  </a:solidFill>
                  <a:effectLst/>
                  <a:latin typeface="+mn-lt"/>
                  <a:ea typeface="+mn-ea"/>
                  <a:cs typeface="+mn-cs"/>
                </a:rPr>
                <a:t>(𝐼𝐼𝑃3[𝑚𝑊]∗𝐺𝑎𝑖𝑛[𝑙𝑖𝑛𝑒𝑎𝑟]∗</a:t>
              </a:r>
              <a:r>
                <a:rPr lang="en-CA" sz="1100" b="0" i="0">
                  <a:solidFill>
                    <a:schemeClr val="tx1"/>
                  </a:solidFill>
                  <a:effectLst/>
                  <a:latin typeface="Cambria Math" panose="02040503050406030204" pitchFamily="18" charset="0"/>
                  <a:ea typeface="+mn-ea"/>
                  <a:cs typeface="+mn-cs"/>
                </a:rPr>
                <a:t>𝐵𝑊</a:t>
              </a:r>
              <a:r>
                <a:rPr lang="en-CA" sz="1100" b="0" i="0">
                  <a:solidFill>
                    <a:schemeClr val="tx1"/>
                  </a:solidFill>
                  <a:effectLst/>
                  <a:latin typeface="+mn-lt"/>
                  <a:ea typeface="+mn-ea"/>
                  <a:cs typeface="+mn-cs"/>
                </a:rPr>
                <a:t>[𝐺𝐻𝑧])/(𝑃_𝑑𝑐 [𝑚𝑊]∗(</a:t>
              </a:r>
              <a:r>
                <a:rPr lang="en-CA" sz="1100" b="0" i="0">
                  <a:solidFill>
                    <a:schemeClr val="tx1"/>
                  </a:solidFill>
                  <a:effectLst/>
                  <a:latin typeface="Cambria Math" panose="02040503050406030204" pitchFamily="18" charset="0"/>
                  <a:ea typeface="+mn-ea"/>
                  <a:cs typeface="+mn-cs"/>
                </a:rPr>
                <a:t>𝐹−</a:t>
              </a:r>
              <a:r>
                <a:rPr lang="en-CA" sz="1100" b="0" i="0">
                  <a:solidFill>
                    <a:schemeClr val="tx1"/>
                  </a:solidFill>
                  <a:effectLst/>
                  <a:latin typeface="+mn-lt"/>
                  <a:ea typeface="+mn-ea"/>
                  <a:cs typeface="+mn-cs"/>
                </a:rPr>
                <a:t>1))</a:t>
              </a:r>
              <a:endParaRPr lang="en-CA" sz="1100"/>
            </a:p>
          </xdr:txBody>
        </xdr:sp>
      </mc:Fallback>
    </mc:AlternateContent>
    <xdr:clientData/>
  </xdr:oneCellAnchor>
  <xdr:oneCellAnchor>
    <xdr:from>
      <xdr:col>1</xdr:col>
      <xdr:colOff>85725</xdr:colOff>
      <xdr:row>59</xdr:row>
      <xdr:rowOff>85725</xdr:rowOff>
    </xdr:from>
    <xdr:ext cx="3059299" cy="380361"/>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695325" y="11325225"/>
              <a:ext cx="3059299"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24=10∗</m:t>
                    </m:r>
                    <m:sSub>
                      <m:sSubPr>
                        <m:ctrlPr>
                          <a:rPr lang="en-CA" sz="1100" b="0" i="1">
                            <a:latin typeface="Cambria Math" panose="02040503050406030204" pitchFamily="18" charset="0"/>
                          </a:rPr>
                        </m:ctrlPr>
                      </m:sSubPr>
                      <m:e>
                        <m:r>
                          <a:rPr lang="en-CA" sz="1100" b="0" i="1">
                            <a:latin typeface="Cambria Math" panose="02040503050406030204" pitchFamily="18" charset="0"/>
                          </a:rPr>
                          <m:t>𝑙𝑜𝑔</m:t>
                        </m:r>
                      </m:e>
                      <m:sub>
                        <m:r>
                          <a:rPr lang="en-CA" sz="1100" b="0" i="1">
                            <a:latin typeface="Cambria Math" panose="02040503050406030204" pitchFamily="18" charset="0"/>
                          </a:rPr>
                          <m:t>10</m:t>
                        </m:r>
                      </m:sub>
                    </m:sSub>
                    <m:d>
                      <m:dPr>
                        <m:ctrlPr>
                          <a:rPr lang="en-CA" sz="1100" b="0" i="1">
                            <a:latin typeface="Cambria Math" panose="02040503050406030204" pitchFamily="18" charset="0"/>
                          </a:rPr>
                        </m:ctrlPr>
                      </m:dPr>
                      <m:e>
                        <m:f>
                          <m:fPr>
                            <m:ctrlPr>
                              <a:rPr lang="en-CA" sz="1100" b="0" i="1">
                                <a:solidFill>
                                  <a:schemeClr val="tx1"/>
                                </a:solidFill>
                                <a:effectLst/>
                                <a:latin typeface="Cambria Math" panose="02040503050406030204" pitchFamily="18" charset="0"/>
                                <a:ea typeface="+mn-ea"/>
                                <a:cs typeface="+mn-cs"/>
                              </a:rPr>
                            </m:ctrlPr>
                          </m:fPr>
                          <m:num>
                            <m:r>
                              <a:rPr lang="en-CA" sz="1100" b="0" i="1">
                                <a:solidFill>
                                  <a:schemeClr val="tx1"/>
                                </a:solidFill>
                                <a:effectLst/>
                                <a:latin typeface="Cambria Math" panose="02040503050406030204" pitchFamily="18" charset="0"/>
                                <a:ea typeface="+mn-ea"/>
                                <a:cs typeface="+mn-cs"/>
                              </a:rPr>
                              <m:t>𝐹𝑟𝑒𝑞</m:t>
                            </m:r>
                            <m:d>
                              <m:dPr>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𝐺h𝑧</m:t>
                                </m:r>
                              </m:e>
                            </m:d>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𝐺𝑎𝑖𝑛</m:t>
                            </m:r>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𝑙𝑖𝑛𝑒𝑎𝑟</m:t>
                            </m:r>
                            <m:r>
                              <a:rPr lang="en-CA" sz="1100" b="0" i="1">
                                <a:solidFill>
                                  <a:schemeClr val="tx1"/>
                                </a:solidFill>
                                <a:effectLst/>
                                <a:latin typeface="Cambria Math" panose="02040503050406030204" pitchFamily="18" charset="0"/>
                                <a:ea typeface="+mn-ea"/>
                                <a:cs typeface="+mn-cs"/>
                              </a:rPr>
                              <m:t>)</m:t>
                            </m:r>
                          </m:num>
                          <m:den>
                            <m:d>
                              <m:dPr>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𝐹</m:t>
                                </m:r>
                                <m:r>
                                  <a:rPr lang="en-CA" sz="1100" b="0" i="1">
                                    <a:solidFill>
                                      <a:schemeClr val="tx1"/>
                                    </a:solidFill>
                                    <a:effectLst/>
                                    <a:latin typeface="Cambria Math" panose="02040503050406030204" pitchFamily="18" charset="0"/>
                                    <a:ea typeface="+mn-ea"/>
                                    <a:cs typeface="+mn-cs"/>
                                  </a:rPr>
                                  <m:t>−1</m:t>
                                </m:r>
                              </m:e>
                            </m:d>
                            <m:r>
                              <a:rPr lang="en-CA" sz="1100" b="0" i="1">
                                <a:solidFill>
                                  <a:schemeClr val="tx1"/>
                                </a:solidFill>
                                <a:effectLst/>
                                <a:latin typeface="Cambria Math" panose="02040503050406030204" pitchFamily="18" charset="0"/>
                                <a:ea typeface="+mn-ea"/>
                                <a:cs typeface="+mn-cs"/>
                              </a:rPr>
                              <m:t>∗</m:t>
                            </m:r>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𝑃</m:t>
                                </m:r>
                              </m:e>
                              <m:sub>
                                <m:r>
                                  <a:rPr lang="en-CA" sz="1100" b="0" i="1">
                                    <a:solidFill>
                                      <a:schemeClr val="tx1"/>
                                    </a:solidFill>
                                    <a:effectLst/>
                                    <a:latin typeface="Cambria Math" panose="02040503050406030204" pitchFamily="18" charset="0"/>
                                    <a:ea typeface="+mn-ea"/>
                                    <a:cs typeface="+mn-cs"/>
                                  </a:rPr>
                                  <m:t>𝑑𝑐</m:t>
                                </m:r>
                              </m:sub>
                            </m:sSub>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𝑚𝑊</m:t>
                            </m:r>
                            <m:r>
                              <a:rPr lang="en-CA" sz="1100" b="0" i="1">
                                <a:solidFill>
                                  <a:schemeClr val="tx1"/>
                                </a:solidFill>
                                <a:effectLst/>
                                <a:latin typeface="Cambria Math" panose="02040503050406030204" pitchFamily="18" charset="0"/>
                                <a:ea typeface="+mn-ea"/>
                                <a:cs typeface="+mn-cs"/>
                              </a:rPr>
                              <m:t>)</m:t>
                            </m:r>
                          </m:den>
                        </m:f>
                      </m:e>
                    </m:d>
                  </m:oMath>
                </m:oMathPara>
              </a14:m>
              <a:endParaRPr lang="en-CA" sz="1100"/>
            </a:p>
          </xdr:txBody>
        </xdr:sp>
      </mc:Choice>
      <mc:Fallback xmlns="">
        <xdr:sp macro="" textlink="">
          <xdr:nvSpPr>
            <xdr:cNvPr id="25" name="TextBox 24">
              <a:extLst>
                <a:ext uri="{FF2B5EF4-FFF2-40B4-BE49-F238E27FC236}">
                  <a16:creationId xmlns:a16="http://schemas.microsoft.com/office/drawing/2014/main" id="{E0B2F457-F0EC-4F46-AFAA-B253A6AA23C4}"/>
                </a:ext>
              </a:extLst>
            </xdr:cNvPr>
            <xdr:cNvSpPr txBox="1"/>
          </xdr:nvSpPr>
          <xdr:spPr>
            <a:xfrm>
              <a:off x="695325" y="11325225"/>
              <a:ext cx="3059299"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𝐹𝑂𝑀24=10∗〖𝑙𝑜𝑔〗_10 (</a:t>
              </a:r>
              <a:r>
                <a:rPr lang="en-CA" sz="1100" b="0" i="0">
                  <a:solidFill>
                    <a:schemeClr val="tx1"/>
                  </a:solidFill>
                  <a:effectLst/>
                  <a:latin typeface="+mn-lt"/>
                  <a:ea typeface="+mn-ea"/>
                  <a:cs typeface="+mn-cs"/>
                </a:rPr>
                <a:t>(𝐹𝑟𝑒𝑞(𝐺ℎ𝑧)∗𝐺𝑎𝑖𝑛(𝑙𝑖𝑛𝑒𝑎𝑟))/((𝐹−1)∗𝑃_𝑑𝑐 (𝑚𝑊))</a:t>
              </a:r>
              <a:r>
                <a:rPr lang="en-CA" sz="1100" b="0" i="0">
                  <a:solidFill>
                    <a:schemeClr val="tx1"/>
                  </a:solidFill>
                  <a:effectLst/>
                  <a:latin typeface="Cambria Math" panose="02040503050406030204" pitchFamily="18" charset="0"/>
                  <a:ea typeface="+mn-ea"/>
                  <a:cs typeface="+mn-cs"/>
                </a:rPr>
                <a:t>)</a:t>
              </a:r>
              <a:endParaRPr lang="en-CA" sz="1100"/>
            </a:p>
          </xdr:txBody>
        </xdr:sp>
      </mc:Fallback>
    </mc:AlternateContent>
    <xdr:clientData/>
  </xdr:oneCellAnchor>
  <xdr:oneCellAnchor>
    <xdr:from>
      <xdr:col>6</xdr:col>
      <xdr:colOff>171450</xdr:colOff>
      <xdr:row>59</xdr:row>
      <xdr:rowOff>85725</xdr:rowOff>
    </xdr:from>
    <xdr:ext cx="3825086" cy="380361"/>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3829050" y="11325225"/>
              <a:ext cx="3825086"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en-CA" sz="1100" b="0" i="1">
                        <a:solidFill>
                          <a:schemeClr val="tx1"/>
                        </a:solidFill>
                        <a:effectLst/>
                        <a:latin typeface="Cambria Math" panose="02040503050406030204" pitchFamily="18" charset="0"/>
                        <a:ea typeface="+mn-ea"/>
                        <a:cs typeface="+mn-cs"/>
                      </a:rPr>
                      <m:t>F</m:t>
                    </m:r>
                    <m:r>
                      <a:rPr lang="en-CA" sz="1100" b="0" i="1">
                        <a:solidFill>
                          <a:schemeClr val="tx1"/>
                        </a:solidFill>
                        <a:effectLst/>
                        <a:latin typeface="Cambria Math" panose="02040503050406030204" pitchFamily="18" charset="0"/>
                        <a:ea typeface="+mn-ea"/>
                        <a:cs typeface="+mn-cs"/>
                      </a:rPr>
                      <m:t>𝑂𝑀</m:t>
                    </m:r>
                    <m:r>
                      <a:rPr lang="en-CA" sz="1100" b="0" i="1">
                        <a:solidFill>
                          <a:schemeClr val="tx1"/>
                        </a:solidFill>
                        <a:effectLst/>
                        <a:latin typeface="Cambria Math" panose="02040503050406030204" pitchFamily="18" charset="0"/>
                        <a:ea typeface="+mn-ea"/>
                        <a:cs typeface="+mn-cs"/>
                      </a:rPr>
                      <m:t>25=10∗</m:t>
                    </m:r>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𝑙𝑜𝑔</m:t>
                        </m:r>
                      </m:e>
                      <m:sub>
                        <m:r>
                          <a:rPr lang="en-CA" sz="1100" b="0" i="1">
                            <a:solidFill>
                              <a:schemeClr val="tx1"/>
                            </a:solidFill>
                            <a:effectLst/>
                            <a:latin typeface="Cambria Math" panose="02040503050406030204" pitchFamily="18" charset="0"/>
                            <a:ea typeface="+mn-ea"/>
                            <a:cs typeface="+mn-cs"/>
                          </a:rPr>
                          <m:t>10</m:t>
                        </m:r>
                      </m:sub>
                    </m:sSub>
                    <m:d>
                      <m:dPr>
                        <m:ctrlPr>
                          <a:rPr lang="en-CA" sz="1100" b="0" i="1">
                            <a:solidFill>
                              <a:schemeClr val="tx1"/>
                            </a:solidFill>
                            <a:effectLst/>
                            <a:latin typeface="Cambria Math" panose="02040503050406030204" pitchFamily="18" charset="0"/>
                            <a:ea typeface="+mn-ea"/>
                            <a:cs typeface="+mn-cs"/>
                          </a:rPr>
                        </m:ctrlPr>
                      </m:dPr>
                      <m:e>
                        <m:f>
                          <m:fPr>
                            <m:ctrlPr>
                              <a:rPr lang="en-CA" sz="1100" b="0" i="1">
                                <a:solidFill>
                                  <a:schemeClr val="tx1"/>
                                </a:solidFill>
                                <a:effectLst/>
                                <a:latin typeface="Cambria Math" panose="02040503050406030204" pitchFamily="18" charset="0"/>
                                <a:ea typeface="+mn-ea"/>
                                <a:cs typeface="+mn-cs"/>
                              </a:rPr>
                            </m:ctrlPr>
                          </m:fPr>
                          <m:num>
                            <m:r>
                              <a:rPr lang="en-CA" sz="1100" b="0" i="1">
                                <a:solidFill>
                                  <a:schemeClr val="tx1"/>
                                </a:solidFill>
                                <a:effectLst/>
                                <a:latin typeface="Cambria Math" panose="02040503050406030204" pitchFamily="18" charset="0"/>
                                <a:ea typeface="+mn-ea"/>
                                <a:cs typeface="+mn-cs"/>
                              </a:rPr>
                              <m:t>𝐹𝑟𝑒𝑞</m:t>
                            </m:r>
                            <m:d>
                              <m:dPr>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𝐺h𝑧</m:t>
                                </m:r>
                              </m:e>
                            </m:d>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𝐺𝑎𝑖𝑛</m:t>
                            </m:r>
                            <m:d>
                              <m:dPr>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𝑙𝑖𝑛𝑒𝑎𝑟</m:t>
                                </m:r>
                              </m:e>
                            </m:d>
                          </m:num>
                          <m:den>
                            <m:d>
                              <m:dPr>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𝐹</m:t>
                                </m:r>
                                <m:r>
                                  <a:rPr lang="en-CA" sz="1100" b="0" i="1">
                                    <a:solidFill>
                                      <a:schemeClr val="tx1"/>
                                    </a:solidFill>
                                    <a:effectLst/>
                                    <a:latin typeface="Cambria Math" panose="02040503050406030204" pitchFamily="18" charset="0"/>
                                    <a:ea typeface="+mn-ea"/>
                                    <a:cs typeface="+mn-cs"/>
                                  </a:rPr>
                                  <m:t>−1</m:t>
                                </m:r>
                              </m:e>
                            </m:d>
                            <m:r>
                              <a:rPr lang="en-CA" sz="1100" b="0" i="1">
                                <a:solidFill>
                                  <a:schemeClr val="tx1"/>
                                </a:solidFill>
                                <a:effectLst/>
                                <a:latin typeface="Cambria Math" panose="02040503050406030204" pitchFamily="18" charset="0"/>
                                <a:ea typeface="+mn-ea"/>
                                <a:cs typeface="+mn-cs"/>
                              </a:rPr>
                              <m:t>∗</m:t>
                            </m:r>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𝑃</m:t>
                                </m:r>
                              </m:e>
                              <m:sub>
                                <m:r>
                                  <a:rPr lang="en-CA" sz="1100" b="0" i="1">
                                    <a:solidFill>
                                      <a:schemeClr val="tx1"/>
                                    </a:solidFill>
                                    <a:effectLst/>
                                    <a:latin typeface="Cambria Math" panose="02040503050406030204" pitchFamily="18" charset="0"/>
                                    <a:ea typeface="+mn-ea"/>
                                    <a:cs typeface="+mn-cs"/>
                                  </a:rPr>
                                  <m:t>𝑑𝑐</m:t>
                                </m:r>
                              </m:sub>
                            </m:sSub>
                            <m:d>
                              <m:dPr>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𝑚𝑊</m:t>
                                </m:r>
                              </m:e>
                            </m:d>
                          </m:den>
                        </m:f>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𝐼𝐼𝑃</m:t>
                        </m:r>
                        <m:r>
                          <a:rPr lang="en-CA" sz="1100" b="0" i="1">
                            <a:solidFill>
                              <a:schemeClr val="tx1"/>
                            </a:solidFill>
                            <a:effectLst/>
                            <a:latin typeface="Cambria Math" panose="02040503050406030204" pitchFamily="18" charset="0"/>
                            <a:ea typeface="+mn-ea"/>
                            <a:cs typeface="+mn-cs"/>
                          </a:rPr>
                          <m:t>3(</m:t>
                        </m:r>
                        <m:r>
                          <a:rPr lang="en-CA" sz="1100" b="0" i="1">
                            <a:solidFill>
                              <a:schemeClr val="tx1"/>
                            </a:solidFill>
                            <a:effectLst/>
                            <a:latin typeface="Cambria Math" panose="02040503050406030204" pitchFamily="18" charset="0"/>
                            <a:ea typeface="+mn-ea"/>
                            <a:cs typeface="+mn-cs"/>
                          </a:rPr>
                          <m:t>𝑚𝑊</m:t>
                        </m:r>
                        <m:r>
                          <a:rPr lang="en-CA" sz="1100" b="0" i="1">
                            <a:solidFill>
                              <a:schemeClr val="tx1"/>
                            </a:solidFill>
                            <a:effectLst/>
                            <a:latin typeface="Cambria Math" panose="02040503050406030204" pitchFamily="18" charset="0"/>
                            <a:ea typeface="+mn-ea"/>
                            <a:cs typeface="+mn-cs"/>
                          </a:rPr>
                          <m:t>)</m:t>
                        </m:r>
                      </m:e>
                    </m:d>
                  </m:oMath>
                </m:oMathPara>
              </a14:m>
              <a:endParaRPr lang="en-CA" sz="1100"/>
            </a:p>
          </xdr:txBody>
        </xdr:sp>
      </mc:Choice>
      <mc:Fallback xmlns="">
        <xdr:sp macro="" textlink="">
          <xdr:nvSpPr>
            <xdr:cNvPr id="26" name="TextBox 25">
              <a:extLst>
                <a:ext uri="{FF2B5EF4-FFF2-40B4-BE49-F238E27FC236}">
                  <a16:creationId xmlns:a16="http://schemas.microsoft.com/office/drawing/2014/main" id="{B6DEBB2E-7A60-4C5D-8245-3F35427B3E2E}"/>
                </a:ext>
              </a:extLst>
            </xdr:cNvPr>
            <xdr:cNvSpPr txBox="1"/>
          </xdr:nvSpPr>
          <xdr:spPr>
            <a:xfrm>
              <a:off x="3829050" y="11325225"/>
              <a:ext cx="3825086"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solidFill>
                    <a:schemeClr val="tx1"/>
                  </a:solidFill>
                  <a:effectLst/>
                  <a:latin typeface="Cambria Math" panose="02040503050406030204" pitchFamily="18" charset="0"/>
                  <a:ea typeface="+mn-ea"/>
                  <a:cs typeface="+mn-cs"/>
                </a:rPr>
                <a:t>F𝑂𝑀25</a:t>
              </a:r>
              <a:r>
                <a:rPr lang="en-CA" sz="1100" b="0" i="0">
                  <a:solidFill>
                    <a:schemeClr val="tx1"/>
                  </a:solidFill>
                  <a:effectLst/>
                  <a:latin typeface="+mn-lt"/>
                  <a:ea typeface="+mn-ea"/>
                  <a:cs typeface="+mn-cs"/>
                </a:rPr>
                <a:t>=10∗〖𝑙𝑜𝑔〗_10 ((𝐹𝑟𝑒𝑞(𝐺ℎ𝑧)∗𝐺𝑎𝑖𝑛</a:t>
              </a:r>
              <a:r>
                <a:rPr lang="en-CA" sz="1100" b="0" i="0">
                  <a:solidFill>
                    <a:schemeClr val="tx1"/>
                  </a:solidFill>
                  <a:effectLst/>
                  <a:latin typeface="Cambria Math" panose="02040503050406030204" pitchFamily="18" charset="0"/>
                  <a:ea typeface="+mn-ea"/>
                  <a:cs typeface="+mn-cs"/>
                </a:rPr>
                <a:t>(</a:t>
              </a:r>
              <a:r>
                <a:rPr lang="en-CA" sz="1100" b="0" i="0">
                  <a:solidFill>
                    <a:schemeClr val="tx1"/>
                  </a:solidFill>
                  <a:effectLst/>
                  <a:latin typeface="+mn-lt"/>
                  <a:ea typeface="+mn-ea"/>
                  <a:cs typeface="+mn-cs"/>
                </a:rPr>
                <a:t>𝑙𝑖𝑛𝑒𝑎𝑟</a:t>
              </a:r>
              <a:r>
                <a:rPr lang="en-CA" sz="1100" b="0" i="0">
                  <a:solidFill>
                    <a:schemeClr val="tx1"/>
                  </a:solidFill>
                  <a:effectLst/>
                  <a:latin typeface="Cambria Math" panose="02040503050406030204" pitchFamily="18" charset="0"/>
                  <a:ea typeface="+mn-ea"/>
                  <a:cs typeface="+mn-cs"/>
                </a:rPr>
                <a:t>)</a:t>
              </a:r>
              <a:r>
                <a:rPr lang="en-CA" sz="1100" b="0" i="0">
                  <a:solidFill>
                    <a:schemeClr val="tx1"/>
                  </a:solidFill>
                  <a:effectLst/>
                  <a:latin typeface="+mn-lt"/>
                  <a:ea typeface="+mn-ea"/>
                  <a:cs typeface="+mn-cs"/>
                </a:rPr>
                <a:t>)/((𝐹−1)∗𝑃_𝑑𝑐</a:t>
              </a:r>
              <a:r>
                <a:rPr lang="en-CA" sz="1100" b="0" i="0">
                  <a:solidFill>
                    <a:schemeClr val="tx1"/>
                  </a:solidFill>
                  <a:effectLst/>
                  <a:latin typeface="Cambria Math" panose="02040503050406030204" pitchFamily="18" charset="0"/>
                  <a:ea typeface="+mn-ea"/>
                  <a:cs typeface="+mn-cs"/>
                </a:rPr>
                <a:t> (</a:t>
              </a:r>
              <a:r>
                <a:rPr lang="en-CA" sz="1100" b="0" i="0">
                  <a:solidFill>
                    <a:schemeClr val="tx1"/>
                  </a:solidFill>
                  <a:effectLst/>
                  <a:latin typeface="+mn-lt"/>
                  <a:ea typeface="+mn-ea"/>
                  <a:cs typeface="+mn-cs"/>
                </a:rPr>
                <a:t>𝑚𝑊</a:t>
              </a:r>
              <a:r>
                <a:rPr lang="en-CA" sz="1100" b="0" i="0">
                  <a:solidFill>
                    <a:schemeClr val="tx1"/>
                  </a:solidFill>
                  <a:effectLst/>
                  <a:latin typeface="Cambria Math" panose="02040503050406030204" pitchFamily="18" charset="0"/>
                  <a:ea typeface="+mn-ea"/>
                  <a:cs typeface="+mn-cs"/>
                </a:rPr>
                <a:t>)</a:t>
              </a:r>
              <a:r>
                <a:rPr lang="en-CA" sz="1100" b="0" i="0">
                  <a:solidFill>
                    <a:schemeClr val="tx1"/>
                  </a:solidFill>
                  <a:effectLst/>
                  <a:latin typeface="+mn-lt"/>
                  <a:ea typeface="+mn-ea"/>
                  <a:cs typeface="+mn-cs"/>
                </a:rPr>
                <a:t> )∗𝐼𝐼𝑃3(𝑚𝑊))</a:t>
              </a:r>
              <a:endParaRPr lang="en-CA" sz="1100"/>
            </a:p>
          </xdr:txBody>
        </xdr:sp>
      </mc:Fallback>
    </mc:AlternateContent>
    <xdr:clientData/>
  </xdr:oneCellAnchor>
  <xdr:oneCellAnchor>
    <xdr:from>
      <xdr:col>1</xdr:col>
      <xdr:colOff>95250</xdr:colOff>
      <xdr:row>62</xdr:row>
      <xdr:rowOff>76200</xdr:rowOff>
    </xdr:from>
    <xdr:ext cx="4038606" cy="369268"/>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704850" y="11887200"/>
              <a:ext cx="4038606" cy="369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26=</m:t>
                    </m:r>
                    <m:f>
                      <m:fPr>
                        <m:ctrlPr>
                          <a:rPr lang="en-CA" sz="1100" b="0" i="1">
                            <a:latin typeface="Cambria Math" panose="02040503050406030204" pitchFamily="18" charset="0"/>
                          </a:rPr>
                        </m:ctrlPr>
                      </m:fPr>
                      <m:num>
                        <m:sSub>
                          <m:sSubPr>
                            <m:ctrlPr>
                              <a:rPr lang="en-CA" sz="1100" b="0" i="1">
                                <a:latin typeface="Cambria Math" panose="02040503050406030204" pitchFamily="18" charset="0"/>
                              </a:rPr>
                            </m:ctrlPr>
                          </m:sSubPr>
                          <m:e>
                            <m:r>
                              <a:rPr lang="en-CA" sz="1100" b="0" i="1">
                                <a:latin typeface="Cambria Math" panose="02040503050406030204" pitchFamily="18" charset="0"/>
                              </a:rPr>
                              <m:t>𝐼𝐼𝑃</m:t>
                            </m:r>
                            <m:r>
                              <a:rPr lang="en-CA" sz="1100" b="0" i="1">
                                <a:latin typeface="Cambria Math" panose="02040503050406030204" pitchFamily="18" charset="0"/>
                              </a:rPr>
                              <m:t>3</m:t>
                            </m:r>
                          </m:e>
                          <m:sub>
                            <m:r>
                              <a:rPr lang="en-CA" sz="1100" b="0" i="1">
                                <a:latin typeface="Cambria Math" panose="02040503050406030204" pitchFamily="18" charset="0"/>
                              </a:rPr>
                              <m:t>𝑎𝑣𝑒</m:t>
                            </m:r>
                          </m:sub>
                        </m:sSub>
                        <m:d>
                          <m:dPr>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r>
                          <a:rPr lang="en-CA" sz="1100" b="0" i="1">
                            <a:latin typeface="Cambria Math" panose="02040503050406030204" pitchFamily="18" charset="0"/>
                          </a:rPr>
                          <m:t>𝐺𝑎𝑖𝑛</m:t>
                        </m:r>
                        <m:d>
                          <m:dPr>
                            <m:ctrlPr>
                              <a:rPr lang="en-CA" sz="1100" b="0" i="1">
                                <a:latin typeface="Cambria Math" panose="02040503050406030204" pitchFamily="18" charset="0"/>
                              </a:rPr>
                            </m:ctrlPr>
                          </m:dPr>
                          <m:e>
                            <m:r>
                              <a:rPr lang="en-CA" sz="1100" b="0" i="1">
                                <a:latin typeface="Cambria Math" panose="02040503050406030204" pitchFamily="18" charset="0"/>
                              </a:rPr>
                              <m:t>𝑙𝑖𝑛𝑒𝑎𝑟</m:t>
                            </m:r>
                          </m:e>
                        </m:d>
                        <m:r>
                          <a:rPr lang="en-CA" sz="1100" b="0" i="1">
                            <a:latin typeface="Cambria Math" panose="02040503050406030204" pitchFamily="18" charset="0"/>
                          </a:rPr>
                          <m:t>∗</m:t>
                        </m:r>
                        <m:r>
                          <a:rPr lang="en-CA" sz="1100" b="0" i="1">
                            <a:latin typeface="Cambria Math" panose="02040503050406030204" pitchFamily="18" charset="0"/>
                          </a:rPr>
                          <m:t>𝐵𝑊</m:t>
                        </m:r>
                        <m:d>
                          <m:dPr>
                            <m:ctrlPr>
                              <a:rPr lang="en-CA" sz="1100" b="0" i="1">
                                <a:latin typeface="Cambria Math" panose="02040503050406030204" pitchFamily="18" charset="0"/>
                              </a:rPr>
                            </m:ctrlPr>
                          </m:dPr>
                          <m:e>
                            <m:r>
                              <a:rPr lang="en-CA" sz="1100" b="0" i="1">
                                <a:latin typeface="Cambria Math" panose="02040503050406030204" pitchFamily="18" charset="0"/>
                              </a:rPr>
                              <m:t>𝐺h𝑧</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𝑓</m:t>
                            </m:r>
                          </m:e>
                          <m:sub>
                            <m:r>
                              <a:rPr lang="en-CA" sz="1100" b="0" i="1">
                                <a:latin typeface="Cambria Math" panose="02040503050406030204" pitchFamily="18" charset="0"/>
                              </a:rPr>
                              <m:t>𝑐𝑒𝑛𝑡𝑒𝑟</m:t>
                            </m:r>
                          </m:sub>
                        </m:sSub>
                        <m:r>
                          <a:rPr lang="en-CA" sz="1100" b="0" i="1">
                            <a:latin typeface="Cambria Math" panose="02040503050406030204" pitchFamily="18" charset="0"/>
                          </a:rPr>
                          <m:t>(</m:t>
                        </m:r>
                        <m:r>
                          <a:rPr lang="en-CA" sz="1100" b="0" i="1">
                            <a:latin typeface="Cambria Math" panose="02040503050406030204" pitchFamily="18" charset="0"/>
                          </a:rPr>
                          <m:t>𝐺h𝑧</m:t>
                        </m:r>
                        <m:r>
                          <a:rPr lang="en-CA" sz="1100" b="0" i="1">
                            <a:latin typeface="Cambria Math" panose="02040503050406030204" pitchFamily="18" charset="0"/>
                          </a:rPr>
                          <m:t>)</m:t>
                        </m:r>
                      </m:num>
                      <m:den>
                        <m:sSub>
                          <m:sSubPr>
                            <m:ctrlPr>
                              <a:rPr lang="en-CA" sz="1100" b="0" i="1">
                                <a:latin typeface="Cambria Math" panose="02040503050406030204" pitchFamily="18" charset="0"/>
                              </a:rPr>
                            </m:ctrlPr>
                          </m:sSubPr>
                          <m:e>
                            <m:r>
                              <a:rPr lang="en-CA" sz="1100" b="0" i="1">
                                <a:latin typeface="Cambria Math" panose="02040503050406030204" pitchFamily="18" charset="0"/>
                              </a:rPr>
                              <m:t>(</m:t>
                            </m:r>
                            <m:r>
                              <a:rPr lang="en-CA" sz="1100" b="0" i="1">
                                <a:latin typeface="Cambria Math" panose="02040503050406030204" pitchFamily="18" charset="0"/>
                              </a:rPr>
                              <m:t>𝐹</m:t>
                            </m:r>
                            <m:r>
                              <a:rPr lang="en-CA" sz="1100" b="0" i="1">
                                <a:latin typeface="Cambria Math" panose="02040503050406030204" pitchFamily="18" charset="0"/>
                              </a:rPr>
                              <m:t>−1)</m:t>
                            </m:r>
                          </m:e>
                          <m:sub>
                            <m:r>
                              <a:rPr lang="en-CA" sz="1100" b="0" i="1">
                                <a:latin typeface="Cambria Math" panose="02040503050406030204" pitchFamily="18" charset="0"/>
                              </a:rPr>
                              <m:t>𝑎𝑣𝑒</m:t>
                            </m:r>
                          </m:sub>
                        </m:sSub>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d>
                          <m:dPr>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sSubSup>
                          <m:sSubSupPr>
                            <m:ctrlPr>
                              <a:rPr lang="en-CA" sz="1100" b="0" i="1">
                                <a:latin typeface="Cambria Math" panose="02040503050406030204" pitchFamily="18" charset="0"/>
                              </a:rPr>
                            </m:ctrlPr>
                          </m:sSubSupPr>
                          <m:e>
                            <m:r>
                              <a:rPr lang="en-CA" sz="1100" b="0" i="1">
                                <a:latin typeface="Cambria Math" panose="02040503050406030204" pitchFamily="18" charset="0"/>
                              </a:rPr>
                              <m:t>𝑓</m:t>
                            </m:r>
                          </m:e>
                          <m:sub>
                            <m:r>
                              <a:rPr lang="en-CA" sz="1100" b="0" i="1">
                                <a:latin typeface="Cambria Math" panose="02040503050406030204" pitchFamily="18" charset="0"/>
                              </a:rPr>
                              <m:t>𝑇</m:t>
                            </m:r>
                          </m:sub>
                          <m:sup>
                            <m:r>
                              <a:rPr lang="en-CA" sz="1100" b="0" i="1">
                                <a:latin typeface="Cambria Math" panose="02040503050406030204" pitchFamily="18" charset="0"/>
                              </a:rPr>
                              <m:t>2</m:t>
                            </m:r>
                          </m:sup>
                        </m:sSubSup>
                        <m:r>
                          <a:rPr lang="en-CA" sz="1100" b="0" i="1">
                            <a:latin typeface="Cambria Math" panose="02040503050406030204" pitchFamily="18" charset="0"/>
                          </a:rPr>
                          <m:t>(</m:t>
                        </m:r>
                        <m:r>
                          <a:rPr lang="en-CA" sz="1100" b="0" i="1">
                            <a:latin typeface="Cambria Math" panose="02040503050406030204" pitchFamily="18" charset="0"/>
                          </a:rPr>
                          <m:t>𝐺h</m:t>
                        </m:r>
                        <m:sSup>
                          <m:sSupPr>
                            <m:ctrlPr>
                              <a:rPr lang="en-CA" sz="1100" b="0" i="1">
                                <a:latin typeface="Cambria Math" panose="02040503050406030204" pitchFamily="18" charset="0"/>
                              </a:rPr>
                            </m:ctrlPr>
                          </m:sSupPr>
                          <m:e>
                            <m:r>
                              <a:rPr lang="en-CA" sz="1100" b="0" i="1">
                                <a:latin typeface="Cambria Math" panose="02040503050406030204" pitchFamily="18" charset="0"/>
                              </a:rPr>
                              <m:t>𝑧</m:t>
                            </m:r>
                          </m:e>
                          <m:sup>
                            <m:r>
                              <a:rPr lang="en-CA" sz="1100" b="0" i="1">
                                <a:latin typeface="Cambria Math" panose="02040503050406030204" pitchFamily="18" charset="0"/>
                              </a:rPr>
                              <m:t>2</m:t>
                            </m:r>
                          </m:sup>
                        </m:sSup>
                        <m:r>
                          <a:rPr lang="en-CA" sz="1100" b="0" i="1">
                            <a:latin typeface="Cambria Math" panose="02040503050406030204" pitchFamily="18" charset="0"/>
                          </a:rPr>
                          <m:t>)</m:t>
                        </m:r>
                      </m:den>
                    </m:f>
                  </m:oMath>
                </m:oMathPara>
              </a14:m>
              <a:endParaRPr lang="en-CA" sz="1100"/>
            </a:p>
          </xdr:txBody>
        </xdr:sp>
      </mc:Choice>
      <mc:Fallback xmlns="">
        <xdr:sp macro="" textlink="">
          <xdr:nvSpPr>
            <xdr:cNvPr id="27" name="TextBox 26">
              <a:extLst>
                <a:ext uri="{FF2B5EF4-FFF2-40B4-BE49-F238E27FC236}">
                  <a16:creationId xmlns:a16="http://schemas.microsoft.com/office/drawing/2014/main" id="{9BB776BF-9231-4A22-93BA-179553B987F9}"/>
                </a:ext>
              </a:extLst>
            </xdr:cNvPr>
            <xdr:cNvSpPr txBox="1"/>
          </xdr:nvSpPr>
          <xdr:spPr>
            <a:xfrm>
              <a:off x="704850" y="11887200"/>
              <a:ext cx="4038606" cy="369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𝐹𝑂𝑀26=(〖𝐼𝐼𝑃3〗_𝑎𝑣𝑒 (𝑚𝑊)∗𝐺𝑎𝑖𝑛(𝑙𝑖𝑛𝑒𝑎𝑟)∗𝐵𝑊(𝐺ℎ𝑧)∗𝑓_𝑐𝑒𝑛𝑡𝑒𝑟 (𝐺ℎ𝑧))/(〖(𝐹−1)〗_𝑎𝑣𝑒∗𝑃_𝑑𝑐 (𝑚𝑊)∗𝑓_𝑇^2 (𝐺ℎ𝑧^2))</a:t>
              </a:r>
              <a:endParaRPr lang="en-CA" sz="1100"/>
            </a:p>
          </xdr:txBody>
        </xdr:sp>
      </mc:Fallback>
    </mc:AlternateContent>
    <xdr:clientData/>
  </xdr:oneCellAnchor>
  <xdr:oneCellAnchor>
    <xdr:from>
      <xdr:col>1</xdr:col>
      <xdr:colOff>85725</xdr:colOff>
      <xdr:row>65</xdr:row>
      <xdr:rowOff>104775</xdr:rowOff>
    </xdr:from>
    <xdr:ext cx="3440942" cy="358881"/>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695325" y="12487275"/>
              <a:ext cx="3440942" cy="358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solidFill>
                          <a:schemeClr val="tx1"/>
                        </a:solidFill>
                        <a:effectLst/>
                        <a:latin typeface="Cambria Math" panose="02040503050406030204" pitchFamily="18" charset="0"/>
                        <a:ea typeface="+mn-ea"/>
                        <a:cs typeface="+mn-cs"/>
                      </a:rPr>
                      <m:t>𝐹𝑂𝑀</m:t>
                    </m:r>
                    <m:r>
                      <a:rPr lang="en-CA" sz="1100" b="0" i="1">
                        <a:solidFill>
                          <a:schemeClr val="tx1"/>
                        </a:solidFill>
                        <a:effectLst/>
                        <a:latin typeface="Cambria Math" panose="02040503050406030204" pitchFamily="18" charset="0"/>
                        <a:ea typeface="+mn-ea"/>
                        <a:cs typeface="+mn-cs"/>
                      </a:rPr>
                      <m:t>27=20</m:t>
                    </m:r>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𝑙𝑜𝑔</m:t>
                        </m:r>
                      </m:e>
                      <m:sub>
                        <m:r>
                          <a:rPr lang="en-CA" sz="1100" b="0" i="1">
                            <a:solidFill>
                              <a:schemeClr val="tx1"/>
                            </a:solidFill>
                            <a:effectLst/>
                            <a:latin typeface="Cambria Math" panose="02040503050406030204" pitchFamily="18" charset="0"/>
                            <a:ea typeface="+mn-ea"/>
                            <a:cs typeface="+mn-cs"/>
                          </a:rPr>
                          <m:t>10</m:t>
                        </m:r>
                      </m:sub>
                    </m:sSub>
                    <m:f>
                      <m:fPr>
                        <m:ctrlPr>
                          <a:rPr lang="en-CA" sz="1100" b="0" i="1">
                            <a:solidFill>
                              <a:schemeClr val="tx1"/>
                            </a:solidFill>
                            <a:effectLst/>
                            <a:latin typeface="Cambria Math" panose="02040503050406030204" pitchFamily="18" charset="0"/>
                            <a:ea typeface="+mn-ea"/>
                            <a:cs typeface="+mn-cs"/>
                          </a:rPr>
                        </m:ctrlPr>
                      </m:fPr>
                      <m:num>
                        <m:r>
                          <a:rPr lang="en-CA" sz="1100" b="0" i="1">
                            <a:solidFill>
                              <a:schemeClr val="tx1"/>
                            </a:solidFill>
                            <a:effectLst/>
                            <a:latin typeface="Cambria Math" panose="02040503050406030204" pitchFamily="18" charset="0"/>
                            <a:ea typeface="+mn-ea"/>
                            <a:cs typeface="+mn-cs"/>
                          </a:rPr>
                          <m:t>𝐼𝐼𝑃</m:t>
                        </m:r>
                        <m:r>
                          <a:rPr lang="en-CA" sz="1100" b="0" i="1">
                            <a:solidFill>
                              <a:schemeClr val="tx1"/>
                            </a:solidFill>
                            <a:effectLst/>
                            <a:latin typeface="Cambria Math" panose="02040503050406030204" pitchFamily="18" charset="0"/>
                            <a:ea typeface="+mn-ea"/>
                            <a:cs typeface="+mn-cs"/>
                          </a:rPr>
                          <m:t>3</m:t>
                        </m:r>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𝑚𝑊</m:t>
                            </m:r>
                          </m:e>
                        </m:d>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𝐺𝑎𝑖𝑛</m:t>
                        </m:r>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𝑙𝑖𝑛𝑒𝑎𝑟</m:t>
                            </m:r>
                          </m:e>
                        </m:d>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𝐵𝑊</m:t>
                        </m:r>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𝐺𝐻𝑧</m:t>
                        </m:r>
                        <m:r>
                          <a:rPr lang="en-CA" sz="1100" b="0" i="1">
                            <a:solidFill>
                              <a:schemeClr val="tx1"/>
                            </a:solidFill>
                            <a:effectLst/>
                            <a:latin typeface="Cambria Math" panose="02040503050406030204" pitchFamily="18" charset="0"/>
                            <a:ea typeface="+mn-ea"/>
                            <a:cs typeface="+mn-cs"/>
                          </a:rPr>
                          <m:t>]</m:t>
                        </m:r>
                      </m:num>
                      <m:den>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𝑃</m:t>
                            </m:r>
                          </m:e>
                          <m:sub>
                            <m:r>
                              <a:rPr lang="en-CA" sz="1100" b="0" i="1">
                                <a:solidFill>
                                  <a:schemeClr val="tx1"/>
                                </a:solidFill>
                                <a:effectLst/>
                                <a:latin typeface="Cambria Math" panose="02040503050406030204" pitchFamily="18" charset="0"/>
                                <a:ea typeface="+mn-ea"/>
                                <a:cs typeface="+mn-cs"/>
                              </a:rPr>
                              <m:t>𝑑𝑐</m:t>
                            </m:r>
                          </m:sub>
                        </m:sSub>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𝑚𝑊</m:t>
                            </m:r>
                          </m:e>
                        </m:d>
                        <m:r>
                          <a:rPr lang="en-CA" sz="1100" b="0" i="1">
                            <a:solidFill>
                              <a:schemeClr val="tx1"/>
                            </a:solidFill>
                            <a:effectLst/>
                            <a:latin typeface="Cambria Math" panose="02040503050406030204" pitchFamily="18" charset="0"/>
                            <a:ea typeface="+mn-ea"/>
                            <a:cs typeface="+mn-cs"/>
                          </a:rPr>
                          <m:t>∗</m:t>
                        </m:r>
                        <m:d>
                          <m:dPr>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𝐹</m:t>
                            </m:r>
                            <m:r>
                              <a:rPr lang="en-CA" sz="1100" b="0" i="1">
                                <a:solidFill>
                                  <a:schemeClr val="tx1"/>
                                </a:solidFill>
                                <a:effectLst/>
                                <a:latin typeface="Cambria Math" panose="02040503050406030204" pitchFamily="18" charset="0"/>
                                <a:ea typeface="+mn-ea"/>
                                <a:cs typeface="+mn-cs"/>
                              </a:rPr>
                              <m:t>−1</m:t>
                            </m:r>
                          </m:e>
                        </m:d>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𝐴</m:t>
                        </m:r>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𝑚</m:t>
                        </m:r>
                        <m:sSup>
                          <m:sSupPr>
                            <m:ctrlPr>
                              <a:rPr lang="en-CA" sz="1100" b="0" i="1">
                                <a:solidFill>
                                  <a:schemeClr val="tx1"/>
                                </a:solidFill>
                                <a:effectLst/>
                                <a:latin typeface="Cambria Math" panose="02040503050406030204" pitchFamily="18" charset="0"/>
                                <a:ea typeface="+mn-ea"/>
                                <a:cs typeface="+mn-cs"/>
                              </a:rPr>
                            </m:ctrlPr>
                          </m:sSupPr>
                          <m:e>
                            <m:r>
                              <a:rPr lang="en-CA" sz="1100" b="0" i="1">
                                <a:solidFill>
                                  <a:schemeClr val="tx1"/>
                                </a:solidFill>
                                <a:effectLst/>
                                <a:latin typeface="Cambria Math" panose="02040503050406030204" pitchFamily="18" charset="0"/>
                                <a:ea typeface="+mn-ea"/>
                                <a:cs typeface="+mn-cs"/>
                              </a:rPr>
                              <m:t>𝑚</m:t>
                            </m:r>
                          </m:e>
                          <m:sup>
                            <m:r>
                              <a:rPr lang="en-CA" sz="1100" b="0" i="1">
                                <a:solidFill>
                                  <a:schemeClr val="tx1"/>
                                </a:solidFill>
                                <a:effectLst/>
                                <a:latin typeface="Cambria Math" panose="02040503050406030204" pitchFamily="18" charset="0"/>
                                <a:ea typeface="+mn-ea"/>
                                <a:cs typeface="+mn-cs"/>
                              </a:rPr>
                              <m:t>2</m:t>
                            </m:r>
                          </m:sup>
                        </m:sSup>
                        <m:r>
                          <a:rPr lang="en-CA" sz="1100" b="0" i="1">
                            <a:solidFill>
                              <a:schemeClr val="tx1"/>
                            </a:solidFill>
                            <a:effectLst/>
                            <a:latin typeface="Cambria Math" panose="02040503050406030204" pitchFamily="18" charset="0"/>
                            <a:ea typeface="+mn-ea"/>
                            <a:cs typeface="+mn-cs"/>
                          </a:rPr>
                          <m:t>]</m:t>
                        </m:r>
                      </m:den>
                    </m:f>
                  </m:oMath>
                </m:oMathPara>
              </a14:m>
              <a:endParaRPr lang="en-CA" sz="1100"/>
            </a:p>
          </xdr:txBody>
        </xdr:sp>
      </mc:Choice>
      <mc:Fallback xmlns="">
        <xdr:sp macro="" textlink="">
          <xdr:nvSpPr>
            <xdr:cNvPr id="29" name="TextBox 28">
              <a:extLst>
                <a:ext uri="{FF2B5EF4-FFF2-40B4-BE49-F238E27FC236}">
                  <a16:creationId xmlns:a16="http://schemas.microsoft.com/office/drawing/2014/main" id="{6D2AE41C-D797-4DA9-BC17-5440567A4D88}"/>
                </a:ext>
              </a:extLst>
            </xdr:cNvPr>
            <xdr:cNvSpPr txBox="1"/>
          </xdr:nvSpPr>
          <xdr:spPr>
            <a:xfrm>
              <a:off x="695325" y="12487275"/>
              <a:ext cx="3440942" cy="358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solidFill>
                    <a:schemeClr val="tx1"/>
                  </a:solidFill>
                  <a:effectLst/>
                  <a:latin typeface="+mn-lt"/>
                  <a:ea typeface="+mn-ea"/>
                  <a:cs typeface="+mn-cs"/>
                </a:rPr>
                <a:t>𝐹𝑂𝑀</a:t>
              </a:r>
              <a:r>
                <a:rPr lang="en-CA" sz="1100" b="0" i="0">
                  <a:solidFill>
                    <a:schemeClr val="tx1"/>
                  </a:solidFill>
                  <a:effectLst/>
                  <a:latin typeface="Cambria Math" panose="02040503050406030204" pitchFamily="18" charset="0"/>
                  <a:ea typeface="+mn-ea"/>
                  <a:cs typeface="+mn-cs"/>
                </a:rPr>
                <a:t>27</a:t>
              </a:r>
              <a:r>
                <a:rPr lang="en-CA" sz="1100" b="0" i="0">
                  <a:solidFill>
                    <a:schemeClr val="tx1"/>
                  </a:solidFill>
                  <a:effectLst/>
                  <a:latin typeface="+mn-lt"/>
                  <a:ea typeface="+mn-ea"/>
                  <a:cs typeface="+mn-cs"/>
                </a:rPr>
                <a:t>=20〖𝑙𝑜𝑔〗_10  (𝐼𝐼𝑃3[𝑚𝑊]∗𝐺𝑎𝑖𝑛[𝑙𝑖𝑛𝑒𝑎𝑟]∗</a:t>
              </a:r>
              <a:r>
                <a:rPr lang="en-CA" sz="1100" b="0" i="0">
                  <a:solidFill>
                    <a:schemeClr val="tx1"/>
                  </a:solidFill>
                  <a:effectLst/>
                  <a:latin typeface="Cambria Math" panose="02040503050406030204" pitchFamily="18" charset="0"/>
                  <a:ea typeface="+mn-ea"/>
                  <a:cs typeface="+mn-cs"/>
                </a:rPr>
                <a:t>𝐵𝑊</a:t>
              </a:r>
              <a:r>
                <a:rPr lang="en-CA" sz="1100" b="0" i="0">
                  <a:solidFill>
                    <a:schemeClr val="tx1"/>
                  </a:solidFill>
                  <a:effectLst/>
                  <a:latin typeface="+mn-lt"/>
                  <a:ea typeface="+mn-ea"/>
                  <a:cs typeface="+mn-cs"/>
                </a:rPr>
                <a:t>[𝐺𝐻𝑧])/(𝑃_𝑑𝑐 [𝑚𝑊]∗</a:t>
              </a:r>
              <a:r>
                <a:rPr lang="en-CA" sz="1100" b="0" i="0">
                  <a:solidFill>
                    <a:schemeClr val="tx1"/>
                  </a:solidFill>
                  <a:effectLst/>
                  <a:latin typeface="Cambria Math" panose="02040503050406030204" pitchFamily="18" charset="0"/>
                  <a:ea typeface="+mn-ea"/>
                  <a:cs typeface="+mn-cs"/>
                </a:rPr>
                <a:t>(𝐹</a:t>
              </a:r>
              <a:r>
                <a:rPr lang="en-CA" sz="1100" b="0" i="0">
                  <a:solidFill>
                    <a:schemeClr val="tx1"/>
                  </a:solidFill>
                  <a:effectLst/>
                  <a:latin typeface="+mn-lt"/>
                  <a:ea typeface="+mn-ea"/>
                  <a:cs typeface="+mn-cs"/>
                </a:rPr>
                <a:t>−1</a:t>
              </a:r>
              <a:r>
                <a:rPr lang="en-CA" sz="1100" b="0" i="0">
                  <a:solidFill>
                    <a:schemeClr val="tx1"/>
                  </a:solidFill>
                  <a:effectLst/>
                  <a:latin typeface="Cambria Math" panose="02040503050406030204" pitchFamily="18" charset="0"/>
                  <a:ea typeface="+mn-ea"/>
                  <a:cs typeface="+mn-cs"/>
                </a:rPr>
                <a:t>)∗𝐴[𝑚𝑚^2]</a:t>
              </a:r>
              <a:r>
                <a:rPr lang="en-CA" sz="1100" b="0" i="0">
                  <a:solidFill>
                    <a:schemeClr val="tx1"/>
                  </a:solidFill>
                  <a:effectLst/>
                  <a:latin typeface="+mn-lt"/>
                  <a:ea typeface="+mn-ea"/>
                  <a:cs typeface="+mn-cs"/>
                </a:rPr>
                <a:t>)</a:t>
              </a:r>
              <a:endParaRPr lang="en-CA" sz="1100"/>
            </a:p>
          </xdr:txBody>
        </xdr:sp>
      </mc:Fallback>
    </mc:AlternateContent>
    <xdr:clientData/>
  </xdr:oneCellAnchor>
  <xdr:oneCellAnchor>
    <xdr:from>
      <xdr:col>1</xdr:col>
      <xdr:colOff>114300</xdr:colOff>
      <xdr:row>68</xdr:row>
      <xdr:rowOff>0</xdr:rowOff>
    </xdr:from>
    <xdr:ext cx="2643929" cy="449931"/>
    <mc:AlternateContent xmlns:mc="http://schemas.openxmlformats.org/markup-compatibility/2006" xmlns:a14="http://schemas.microsoft.com/office/drawing/2010/main">
      <mc:Choice Requires="a14">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723900" y="12954000"/>
              <a:ext cx="2643929" cy="4499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28=10</m:t>
                    </m:r>
                    <m:sSub>
                      <m:sSubPr>
                        <m:ctrlPr>
                          <a:rPr lang="en-CA" sz="1100" b="0" i="1">
                            <a:latin typeface="Cambria Math" panose="02040503050406030204" pitchFamily="18" charset="0"/>
                          </a:rPr>
                        </m:ctrlPr>
                      </m:sSubPr>
                      <m:e>
                        <m:r>
                          <a:rPr lang="en-CA" sz="1100" b="0" i="1">
                            <a:latin typeface="Cambria Math" panose="02040503050406030204" pitchFamily="18" charset="0"/>
                          </a:rPr>
                          <m:t>𝑙𝑜𝑔</m:t>
                        </m:r>
                      </m:e>
                      <m:sub>
                        <m:r>
                          <a:rPr lang="en-CA" sz="1100" b="0" i="1">
                            <a:latin typeface="Cambria Math" panose="02040503050406030204" pitchFamily="18" charset="0"/>
                          </a:rPr>
                          <m:t>10</m:t>
                        </m:r>
                      </m:sub>
                    </m:sSub>
                    <m:f>
                      <m:fPr>
                        <m:ctrlPr>
                          <a:rPr lang="en-CA" sz="1100" b="0" i="1">
                            <a:latin typeface="Cambria Math" panose="02040503050406030204" pitchFamily="18" charset="0"/>
                          </a:rPr>
                        </m:ctrlPr>
                      </m:fPr>
                      <m:num>
                        <m:r>
                          <a:rPr lang="en-CA" sz="1100" b="0" i="1">
                            <a:solidFill>
                              <a:schemeClr val="tx1"/>
                            </a:solidFill>
                            <a:effectLst/>
                            <a:latin typeface="Cambria Math" panose="02040503050406030204" pitchFamily="18" charset="0"/>
                            <a:ea typeface="+mn-ea"/>
                            <a:cs typeface="+mn-cs"/>
                          </a:rPr>
                          <m:t>𝐺𝑎𝑖𝑛</m:t>
                        </m:r>
                        <m:d>
                          <m:dPr>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𝑙𝑖𝑛𝑒𝑎𝑟</m:t>
                            </m:r>
                          </m:e>
                        </m:d>
                        <m:r>
                          <a:rPr lang="en-CA" sz="1100" b="0" i="1">
                            <a:solidFill>
                              <a:schemeClr val="tx1"/>
                            </a:solidFill>
                            <a:effectLst/>
                            <a:latin typeface="Cambria Math" panose="02040503050406030204" pitchFamily="18" charset="0"/>
                            <a:ea typeface="+mn-ea"/>
                            <a:cs typeface="+mn-cs"/>
                          </a:rPr>
                          <m:t>∗</m:t>
                        </m:r>
                        <m:sSup>
                          <m:sSupPr>
                            <m:ctrlPr>
                              <a:rPr lang="en-CA" sz="1100" b="0" i="1">
                                <a:solidFill>
                                  <a:schemeClr val="tx1"/>
                                </a:solidFill>
                                <a:effectLst/>
                                <a:latin typeface="Cambria Math" panose="02040503050406030204" pitchFamily="18" charset="0"/>
                                <a:ea typeface="+mn-ea"/>
                                <a:cs typeface="+mn-cs"/>
                              </a:rPr>
                            </m:ctrlPr>
                          </m:sSupPr>
                          <m:e>
                            <m:r>
                              <a:rPr lang="en-CA" sz="1100" b="0" i="1">
                                <a:solidFill>
                                  <a:schemeClr val="tx1"/>
                                </a:solidFill>
                                <a:effectLst/>
                                <a:latin typeface="Cambria Math" panose="02040503050406030204" pitchFamily="18" charset="0"/>
                                <a:ea typeface="+mn-ea"/>
                                <a:cs typeface="+mn-cs"/>
                              </a:rPr>
                              <m:t>10</m:t>
                            </m:r>
                          </m:e>
                          <m:sup>
                            <m:f>
                              <m:fPr>
                                <m:ctrlPr>
                                  <a:rPr lang="en-CA" sz="1100" b="0" i="1">
                                    <a:solidFill>
                                      <a:schemeClr val="tx1"/>
                                    </a:solidFill>
                                    <a:effectLst/>
                                    <a:latin typeface="Cambria Math" panose="02040503050406030204" pitchFamily="18" charset="0"/>
                                    <a:ea typeface="+mn-ea"/>
                                    <a:cs typeface="+mn-cs"/>
                                  </a:rPr>
                                </m:ctrlPr>
                              </m:fPr>
                              <m:num>
                                <m:r>
                                  <a:rPr lang="en-CA" sz="1100" b="0" i="1">
                                    <a:solidFill>
                                      <a:schemeClr val="tx1"/>
                                    </a:solidFill>
                                    <a:effectLst/>
                                    <a:latin typeface="Cambria Math" panose="02040503050406030204" pitchFamily="18" charset="0"/>
                                    <a:ea typeface="+mn-ea"/>
                                    <a:cs typeface="+mn-cs"/>
                                  </a:rPr>
                                  <m:t>𝐼𝐼𝑃</m:t>
                                </m:r>
                                <m:r>
                                  <a:rPr lang="en-CA" sz="1100" b="0" i="1">
                                    <a:solidFill>
                                      <a:schemeClr val="tx1"/>
                                    </a:solidFill>
                                    <a:effectLst/>
                                    <a:latin typeface="Cambria Math" panose="02040503050406030204" pitchFamily="18" charset="0"/>
                                    <a:ea typeface="+mn-ea"/>
                                    <a:cs typeface="+mn-cs"/>
                                  </a:rPr>
                                  <m:t>3−10</m:t>
                                </m:r>
                              </m:num>
                              <m:den>
                                <m:r>
                                  <a:rPr lang="en-CA" sz="1100" b="0" i="1">
                                    <a:solidFill>
                                      <a:schemeClr val="tx1"/>
                                    </a:solidFill>
                                    <a:effectLst/>
                                    <a:latin typeface="Cambria Math" panose="02040503050406030204" pitchFamily="18" charset="0"/>
                                    <a:ea typeface="+mn-ea"/>
                                    <a:cs typeface="+mn-cs"/>
                                  </a:rPr>
                                  <m:t>20</m:t>
                                </m:r>
                              </m:den>
                            </m:f>
                          </m:sup>
                        </m:sSup>
                      </m:num>
                      <m:den>
                        <m:r>
                          <a:rPr lang="en-CA" sz="1100" b="0" i="1">
                            <a:latin typeface="Cambria Math" panose="02040503050406030204" pitchFamily="18" charset="0"/>
                          </a:rPr>
                          <m:t>𝐹</m:t>
                        </m:r>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𝑃</m:t>
                            </m:r>
                          </m:e>
                          <m:sub>
                            <m:r>
                              <a:rPr lang="en-CA" sz="1100" b="0" i="1">
                                <a:solidFill>
                                  <a:schemeClr val="tx1"/>
                                </a:solidFill>
                                <a:effectLst/>
                                <a:latin typeface="Cambria Math" panose="02040503050406030204" pitchFamily="18" charset="0"/>
                                <a:ea typeface="+mn-ea"/>
                                <a:cs typeface="+mn-cs"/>
                              </a:rPr>
                              <m:t>𝑑𝑐</m:t>
                            </m:r>
                          </m:sub>
                        </m:sSub>
                        <m:d>
                          <m:dPr>
                            <m:begChr m:val="["/>
                            <m:endChr m:val="]"/>
                            <m:ctrlPr>
                              <a:rPr lang="en-CA" sz="1100" b="0" i="1">
                                <a:solidFill>
                                  <a:schemeClr val="tx1"/>
                                </a:solidFill>
                                <a:effectLst/>
                                <a:latin typeface="Cambria Math" panose="02040503050406030204" pitchFamily="18" charset="0"/>
                                <a:ea typeface="+mn-ea"/>
                                <a:cs typeface="+mn-cs"/>
                              </a:rPr>
                            </m:ctrlPr>
                          </m:dPr>
                          <m:e>
                            <m:r>
                              <a:rPr lang="en-CA" sz="1100" b="0" i="1">
                                <a:solidFill>
                                  <a:schemeClr val="tx1"/>
                                </a:solidFill>
                                <a:effectLst/>
                                <a:latin typeface="Cambria Math" panose="02040503050406030204" pitchFamily="18" charset="0"/>
                                <a:ea typeface="+mn-ea"/>
                                <a:cs typeface="+mn-cs"/>
                              </a:rPr>
                              <m:t>𝑊</m:t>
                            </m:r>
                          </m:e>
                        </m:d>
                      </m:den>
                    </m:f>
                  </m:oMath>
                </m:oMathPara>
              </a14:m>
              <a:endParaRPr lang="en-CA" sz="1100"/>
            </a:p>
          </xdr:txBody>
        </xdr:sp>
      </mc:Choice>
      <mc:Fallback xmlns="">
        <xdr:sp macro="" textlink="">
          <xdr:nvSpPr>
            <xdr:cNvPr id="30" name="TextBox 29">
              <a:extLst>
                <a:ext uri="{FF2B5EF4-FFF2-40B4-BE49-F238E27FC236}">
                  <a16:creationId xmlns:a16="http://schemas.microsoft.com/office/drawing/2014/main" id="{B310CE54-4D6B-43E7-AE60-0C0932D7ED88}"/>
                </a:ext>
              </a:extLst>
            </xdr:cNvPr>
            <xdr:cNvSpPr txBox="1"/>
          </xdr:nvSpPr>
          <xdr:spPr>
            <a:xfrm>
              <a:off x="723900" y="12954000"/>
              <a:ext cx="2643929" cy="4499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𝐹𝑂𝑀28=10〖𝑙𝑜𝑔〗_10 </a:t>
              </a:r>
              <a:r>
                <a:rPr lang="en-CA" sz="1100" b="0" i="0">
                  <a:solidFill>
                    <a:schemeClr val="tx1"/>
                  </a:solidFill>
                  <a:effectLst/>
                  <a:latin typeface="+mn-lt"/>
                  <a:ea typeface="+mn-ea"/>
                  <a:cs typeface="+mn-cs"/>
                </a:rPr>
                <a:t> </a:t>
              </a:r>
              <a:r>
                <a:rPr lang="en-CA" sz="1100" b="0" i="0">
                  <a:solidFill>
                    <a:schemeClr val="tx1"/>
                  </a:solidFill>
                  <a:effectLst/>
                  <a:latin typeface="Cambria Math" panose="02040503050406030204" pitchFamily="18" charset="0"/>
                  <a:ea typeface="+mn-ea"/>
                  <a:cs typeface="+mn-cs"/>
                </a:rPr>
                <a:t>(</a:t>
              </a:r>
              <a:r>
                <a:rPr lang="en-CA" sz="1100" b="0" i="0">
                  <a:solidFill>
                    <a:schemeClr val="tx1"/>
                  </a:solidFill>
                  <a:effectLst/>
                  <a:latin typeface="+mn-lt"/>
                  <a:ea typeface="+mn-ea"/>
                  <a:cs typeface="+mn-cs"/>
                </a:rPr>
                <a:t>𝐺𝑎𝑖𝑛(𝑙𝑖𝑛𝑒𝑎𝑟)∗10^((𝐼𝐼𝑃3−10)/20)</a:t>
              </a:r>
              <a:r>
                <a:rPr lang="en-CA" sz="1100" b="0" i="0">
                  <a:solidFill>
                    <a:schemeClr val="tx1"/>
                  </a:solidFill>
                  <a:effectLst/>
                  <a:latin typeface="Cambria Math" panose="02040503050406030204" pitchFamily="18" charset="0"/>
                  <a:ea typeface="+mn-ea"/>
                  <a:cs typeface="+mn-cs"/>
                </a:rPr>
                <a:t>)/(</a:t>
              </a:r>
              <a:r>
                <a:rPr lang="en-CA" sz="1100" b="0" i="0">
                  <a:latin typeface="Cambria Math" panose="02040503050406030204" pitchFamily="18" charset="0"/>
                </a:rPr>
                <a:t>𝐹</a:t>
              </a:r>
              <a:r>
                <a:rPr lang="en-CA" sz="1100" b="0" i="0">
                  <a:solidFill>
                    <a:schemeClr val="tx1"/>
                  </a:solidFill>
                  <a:effectLst/>
                  <a:latin typeface="+mn-lt"/>
                  <a:ea typeface="+mn-ea"/>
                  <a:cs typeface="+mn-cs"/>
                </a:rPr>
                <a:t>〖</a:t>
              </a:r>
              <a:r>
                <a:rPr lang="en-CA" sz="1100" b="0" i="0">
                  <a:solidFill>
                    <a:schemeClr val="tx1"/>
                  </a:solidFill>
                  <a:effectLst/>
                  <a:latin typeface="Cambria Math" panose="02040503050406030204" pitchFamily="18" charset="0"/>
                  <a:ea typeface="+mn-ea"/>
                  <a:cs typeface="+mn-cs"/>
                </a:rPr>
                <a:t>∗</a:t>
              </a:r>
              <a:r>
                <a:rPr lang="en-CA" sz="1100" b="0" i="0">
                  <a:solidFill>
                    <a:schemeClr val="tx1"/>
                  </a:solidFill>
                  <a:effectLst/>
                  <a:latin typeface="+mn-lt"/>
                  <a:ea typeface="+mn-ea"/>
                  <a:cs typeface="+mn-cs"/>
                </a:rPr>
                <a:t>𝑃〗_𝑑𝑐 [𝑊]</a:t>
              </a:r>
              <a:r>
                <a:rPr lang="en-CA" sz="1100" b="0" i="0">
                  <a:solidFill>
                    <a:schemeClr val="tx1"/>
                  </a:solidFill>
                  <a:effectLst/>
                  <a:latin typeface="Cambria Math" panose="02040503050406030204" pitchFamily="18" charset="0"/>
                  <a:ea typeface="+mn-ea"/>
                  <a:cs typeface="+mn-cs"/>
                </a:rPr>
                <a:t> )</a:t>
              </a:r>
              <a:endParaRPr lang="en-CA" sz="1100"/>
            </a:p>
          </xdr:txBody>
        </xdr:sp>
      </mc:Fallback>
    </mc:AlternateContent>
    <xdr:clientData/>
  </xdr:oneCellAnchor>
  <xdr:oneCellAnchor>
    <xdr:from>
      <xdr:col>1</xdr:col>
      <xdr:colOff>76200</xdr:colOff>
      <xdr:row>71</xdr:row>
      <xdr:rowOff>42862</xdr:rowOff>
    </xdr:from>
    <xdr:ext cx="2128981" cy="530786"/>
    <mc:AlternateContent xmlns:mc="http://schemas.openxmlformats.org/markup-compatibility/2006" xmlns:a14="http://schemas.microsoft.com/office/drawing/2010/main">
      <mc:Choice Requires="a14">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685800" y="13568362"/>
              <a:ext cx="2128981" cy="530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29=10∗</m:t>
                    </m:r>
                    <m:sSub>
                      <m:sSubPr>
                        <m:ctrlPr>
                          <a:rPr lang="en-CA" sz="1100" b="0" i="1">
                            <a:latin typeface="Cambria Math" panose="02040503050406030204" pitchFamily="18" charset="0"/>
                          </a:rPr>
                        </m:ctrlPr>
                      </m:sSubPr>
                      <m:e>
                        <m:r>
                          <a:rPr lang="en-CA" sz="1100" b="0" i="1">
                            <a:latin typeface="Cambria Math" panose="02040503050406030204" pitchFamily="18" charset="0"/>
                          </a:rPr>
                          <m:t>𝑙𝑜𝑔</m:t>
                        </m:r>
                      </m:e>
                      <m:sub>
                        <m:r>
                          <a:rPr lang="en-CA" sz="1100" b="0" i="1">
                            <a:latin typeface="Cambria Math" panose="02040503050406030204" pitchFamily="18" charset="0"/>
                          </a:rPr>
                          <m:t>10</m:t>
                        </m:r>
                      </m:sub>
                    </m:sSub>
                    <m:f>
                      <m:fPr>
                        <m:ctrlPr>
                          <a:rPr lang="en-CA" sz="1100" b="0" i="1">
                            <a:latin typeface="Cambria Math" panose="02040503050406030204" pitchFamily="18" charset="0"/>
                          </a:rPr>
                        </m:ctrlPr>
                      </m:fPr>
                      <m:num>
                        <m:r>
                          <a:rPr lang="en-CA" sz="1100" b="0" i="1">
                            <a:latin typeface="Cambria Math" panose="02040503050406030204" pitchFamily="18" charset="0"/>
                          </a:rPr>
                          <m:t>𝑂𝐼𝑃</m:t>
                        </m:r>
                        <m:r>
                          <a:rPr lang="en-CA" sz="1100" b="0" i="1">
                            <a:latin typeface="Cambria Math" panose="02040503050406030204" pitchFamily="18" charset="0"/>
                          </a:rPr>
                          <m:t>3</m:t>
                        </m:r>
                        <m:d>
                          <m:dPr>
                            <m:ctrlPr>
                              <a:rPr lang="en-CA" sz="1100" b="0" i="1">
                                <a:latin typeface="Cambria Math" panose="02040503050406030204" pitchFamily="18" charset="0"/>
                              </a:rPr>
                            </m:ctrlPr>
                          </m:dPr>
                          <m:e>
                            <m:r>
                              <a:rPr lang="en-CA" sz="1100" b="0" i="1">
                                <a:latin typeface="Cambria Math" panose="02040503050406030204" pitchFamily="18" charset="0"/>
                              </a:rPr>
                              <m:t>𝑚𝑊</m:t>
                            </m:r>
                          </m:e>
                        </m:d>
                      </m:num>
                      <m:den>
                        <m:r>
                          <a:rPr lang="en-CA" sz="1100" b="0" i="1">
                            <a:latin typeface="Cambria Math" panose="02040503050406030204" pitchFamily="18" charset="0"/>
                          </a:rPr>
                          <m:t>𝐹</m:t>
                        </m:r>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b="0"/>
            </a:p>
            <a:p>
              <a:endParaRPr lang="en-CA" sz="1100"/>
            </a:p>
          </xdr:txBody>
        </xdr:sp>
      </mc:Choice>
      <mc:Fallback xmlns="">
        <xdr:sp macro="" textlink="">
          <xdr:nvSpPr>
            <xdr:cNvPr id="31" name="TextBox 30">
              <a:extLst>
                <a:ext uri="{FF2B5EF4-FFF2-40B4-BE49-F238E27FC236}">
                  <a16:creationId xmlns:a16="http://schemas.microsoft.com/office/drawing/2014/main" id="{A27F0197-206A-43DE-A85A-06C1ECD62A69}"/>
                </a:ext>
              </a:extLst>
            </xdr:cNvPr>
            <xdr:cNvSpPr txBox="1"/>
          </xdr:nvSpPr>
          <xdr:spPr>
            <a:xfrm>
              <a:off x="685800" y="13568362"/>
              <a:ext cx="2128981" cy="530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𝐹𝑂𝑀29=10∗〖𝑙𝑜𝑔〗_10  𝑂𝐼𝑃3(𝑚𝑊)/(𝐹∗𝑃_𝑑𝑐 (𝑚𝑊))</a:t>
              </a:r>
              <a:endParaRPr lang="en-CA" sz="1100" b="0"/>
            </a:p>
            <a:p>
              <a:endParaRPr lang="en-CA" sz="1100"/>
            </a:p>
          </xdr:txBody>
        </xdr:sp>
      </mc:Fallback>
    </mc:AlternateContent>
    <xdr:clientData/>
  </xdr:oneCellAnchor>
  <xdr:oneCellAnchor>
    <xdr:from>
      <xdr:col>1</xdr:col>
      <xdr:colOff>76200</xdr:colOff>
      <xdr:row>73</xdr:row>
      <xdr:rowOff>119062</xdr:rowOff>
    </xdr:from>
    <xdr:ext cx="4992071" cy="380361"/>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685800" y="14025562"/>
              <a:ext cx="499207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30=10</m:t>
                    </m:r>
                    <m:sSub>
                      <m:sSubPr>
                        <m:ctrlPr>
                          <a:rPr lang="en-CA" sz="1100" b="0" i="1">
                            <a:latin typeface="Cambria Math" panose="02040503050406030204" pitchFamily="18" charset="0"/>
                          </a:rPr>
                        </m:ctrlPr>
                      </m:sSubPr>
                      <m:e>
                        <m:r>
                          <a:rPr lang="en-CA" sz="1100" b="0" i="1">
                            <a:latin typeface="Cambria Math" panose="02040503050406030204" pitchFamily="18" charset="0"/>
                          </a:rPr>
                          <m:t>𝑙𝑜𝑔</m:t>
                        </m:r>
                      </m:e>
                      <m:sub>
                        <m:r>
                          <a:rPr lang="en-CA" sz="1100" b="0" i="1">
                            <a:latin typeface="Cambria Math" panose="02040503050406030204" pitchFamily="18" charset="0"/>
                          </a:rPr>
                          <m:t>10</m:t>
                        </m:r>
                      </m:sub>
                    </m:sSub>
                    <m:d>
                      <m:dPr>
                        <m:ctrlPr>
                          <a:rPr lang="en-CA" sz="1100" b="0" i="1">
                            <a:latin typeface="Cambria Math" panose="02040503050406030204" pitchFamily="18" charset="0"/>
                          </a:rPr>
                        </m:ctrlPr>
                      </m:dPr>
                      <m:e>
                        <m:r>
                          <a:rPr lang="en-CA" sz="1100" b="0" i="1">
                            <a:latin typeface="Cambria Math" panose="02040503050406030204" pitchFamily="18" charset="0"/>
                          </a:rPr>
                          <m:t>100∗</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d>
                              <m:dPr>
                                <m:ctrlPr>
                                  <a:rPr lang="en-CA" sz="1100" b="0" i="1">
                                    <a:latin typeface="Cambria Math" panose="02040503050406030204" pitchFamily="18" charset="0"/>
                                  </a:rPr>
                                </m:ctrlPr>
                              </m:dPr>
                              <m:e>
                                <m:r>
                                  <a:rPr lang="en-CA" sz="1100" b="0" i="1">
                                    <a:latin typeface="Cambria Math" panose="02040503050406030204" pitchFamily="18" charset="0"/>
                                  </a:rPr>
                                  <m:t>𝑑𝐵</m:t>
                                </m:r>
                              </m:e>
                            </m:d>
                          </m:num>
                          <m:den>
                            <m:d>
                              <m:dPr>
                                <m:ctrlPr>
                                  <a:rPr lang="en-CA" sz="1100" b="0" i="1">
                                    <a:latin typeface="Cambria Math" panose="02040503050406030204" pitchFamily="18" charset="0"/>
                                  </a:rPr>
                                </m:ctrlPr>
                              </m:dPr>
                              <m:e>
                                <m:r>
                                  <a:rPr lang="en-CA" sz="1100" b="0" i="1">
                                    <a:latin typeface="Cambria Math" panose="02040503050406030204" pitchFamily="18" charset="0"/>
                                  </a:rPr>
                                  <m:t>𝐹</m:t>
                                </m:r>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d>
                              <m:dPr>
                                <m:ctrlPr>
                                  <a:rPr lang="en-CA" sz="1100" b="0" i="1">
                                    <a:latin typeface="Cambria Math" panose="02040503050406030204" pitchFamily="18" charset="0"/>
                                  </a:rPr>
                                </m:ctrlPr>
                              </m:dPr>
                              <m:e>
                                <m:r>
                                  <a:rPr lang="en-CA" sz="1100" b="0" i="1">
                                    <a:latin typeface="Cambria Math" panose="02040503050406030204" pitchFamily="18" charset="0"/>
                                  </a:rPr>
                                  <m:t>𝑚𝑊</m:t>
                                </m:r>
                              </m:e>
                            </m:d>
                          </m:den>
                        </m:f>
                        <m:r>
                          <a:rPr lang="en-CA" sz="1100" b="0" i="1">
                            <a:latin typeface="Cambria Math" panose="02040503050406030204" pitchFamily="18" charset="0"/>
                          </a:rPr>
                          <m:t>∗</m:t>
                        </m:r>
                        <m:f>
                          <m:fPr>
                            <m:ctrlPr>
                              <a:rPr lang="en-CA" sz="1100" b="0" i="1">
                                <a:latin typeface="Cambria Math" panose="02040503050406030204" pitchFamily="18" charset="0"/>
                              </a:rPr>
                            </m:ctrlPr>
                          </m:fPr>
                          <m:num>
                            <m:r>
                              <a:rPr lang="en-CA" sz="1100" b="0" i="1">
                                <a:latin typeface="Cambria Math" panose="02040503050406030204" pitchFamily="18" charset="0"/>
                              </a:rPr>
                              <m:t>𝐼𝐼𝑃</m:t>
                            </m:r>
                            <m:r>
                              <a:rPr lang="en-CA" sz="1100" b="0" i="1">
                                <a:latin typeface="Cambria Math" panose="02040503050406030204" pitchFamily="18" charset="0"/>
                              </a:rPr>
                              <m:t>3</m:t>
                            </m:r>
                            <m:d>
                              <m:dPr>
                                <m:ctrlPr>
                                  <a:rPr lang="en-CA" sz="1100" b="0" i="1">
                                    <a:latin typeface="Cambria Math" panose="02040503050406030204" pitchFamily="18" charset="0"/>
                                  </a:rPr>
                                </m:ctrlPr>
                              </m:dPr>
                              <m:e>
                                <m:r>
                                  <a:rPr lang="en-CA" sz="1100" b="0" i="1">
                                    <a:latin typeface="Cambria Math" panose="02040503050406030204" pitchFamily="18" charset="0"/>
                                  </a:rPr>
                                  <m:t>𝑚𝑊</m:t>
                                </m:r>
                              </m:e>
                            </m:d>
                          </m:num>
                          <m:den>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d>
                              <m:dPr>
                                <m:ctrlPr>
                                  <a:rPr lang="en-CA" sz="1100" b="0" i="1">
                                    <a:latin typeface="Cambria Math" panose="02040503050406030204" pitchFamily="18" charset="0"/>
                                  </a:rPr>
                                </m:ctrlPr>
                              </m:dPr>
                              <m:e>
                                <m:r>
                                  <a:rPr lang="en-CA" sz="1100" b="0" i="1">
                                    <a:latin typeface="Cambria Math" panose="02040503050406030204" pitchFamily="18" charset="0"/>
                                  </a:rPr>
                                  <m:t>𝑚𝑊</m:t>
                                </m:r>
                              </m:e>
                            </m:d>
                          </m:den>
                        </m:f>
                      </m:e>
                    </m:d>
                    <m:r>
                      <a:rPr lang="en-CA" sz="1100" b="0" i="1">
                        <a:latin typeface="Cambria Math" panose="02040503050406030204" pitchFamily="18" charset="0"/>
                      </a:rPr>
                      <m:t>+10</m:t>
                    </m:r>
                    <m:sSub>
                      <m:sSubPr>
                        <m:ctrlPr>
                          <a:rPr lang="en-CA" sz="1100" b="0" i="1">
                            <a:latin typeface="Cambria Math" panose="02040503050406030204" pitchFamily="18" charset="0"/>
                          </a:rPr>
                        </m:ctrlPr>
                      </m:sSubPr>
                      <m:e>
                        <m:r>
                          <a:rPr lang="en-CA" sz="1100" b="0" i="1">
                            <a:latin typeface="Cambria Math" panose="02040503050406030204" pitchFamily="18" charset="0"/>
                          </a:rPr>
                          <m:t>𝑙𝑜𝑔</m:t>
                        </m:r>
                      </m:e>
                      <m:sub>
                        <m:r>
                          <a:rPr lang="en-CA" sz="1100" b="0" i="1">
                            <a:latin typeface="Cambria Math" panose="02040503050406030204" pitchFamily="18" charset="0"/>
                          </a:rPr>
                          <m:t>10</m:t>
                        </m:r>
                      </m:sub>
                    </m:sSub>
                    <m:r>
                      <a:rPr lang="en-CA" sz="1100" b="0" i="1">
                        <a:latin typeface="Cambria Math" panose="02040503050406030204" pitchFamily="18" charset="0"/>
                      </a:rPr>
                      <m:t>(</m:t>
                    </m:r>
                    <m:f>
                      <m:fPr>
                        <m:ctrlPr>
                          <a:rPr lang="en-CA" sz="1100" b="0" i="1">
                            <a:latin typeface="Cambria Math" panose="02040503050406030204" pitchFamily="18" charset="0"/>
                          </a:rPr>
                        </m:ctrlPr>
                      </m:fPr>
                      <m:num>
                        <m:r>
                          <a:rPr lang="en-CA" sz="1100" b="0" i="1">
                            <a:latin typeface="Cambria Math" panose="02040503050406030204" pitchFamily="18" charset="0"/>
                          </a:rPr>
                          <m:t>𝐵𝑊</m:t>
                        </m:r>
                        <m:r>
                          <a:rPr lang="en-CA" sz="1100" b="0" i="1">
                            <a:latin typeface="Cambria Math" panose="02040503050406030204" pitchFamily="18" charset="0"/>
                          </a:rPr>
                          <m:t>(</m:t>
                        </m:r>
                        <m:r>
                          <a:rPr lang="en-CA" sz="1100" b="0" i="1">
                            <a:latin typeface="Cambria Math" panose="02040503050406030204" pitchFamily="18" charset="0"/>
                          </a:rPr>
                          <m:t>𝐺h𝑧</m:t>
                        </m:r>
                        <m:r>
                          <a:rPr lang="en-CA" sz="1100" b="0" i="1">
                            <a:latin typeface="Cambria Math" panose="02040503050406030204" pitchFamily="18" charset="0"/>
                          </a:rPr>
                          <m:t>)</m:t>
                        </m:r>
                      </m:num>
                      <m:den>
                        <m:r>
                          <a:rPr lang="en-CA" sz="1100" b="0" i="1">
                            <a:latin typeface="Cambria Math" panose="02040503050406030204" pitchFamily="18" charset="0"/>
                          </a:rPr>
                          <m:t>1</m:t>
                        </m:r>
                        <m:r>
                          <a:rPr lang="en-CA" sz="1100" b="0" i="1">
                            <a:latin typeface="Cambria Math" panose="02040503050406030204" pitchFamily="18" charset="0"/>
                          </a:rPr>
                          <m:t>𝐺h𝑧</m:t>
                        </m:r>
                      </m:den>
                    </m:f>
                    <m:r>
                      <a:rPr lang="en-CA" sz="1100" b="0" i="1">
                        <a:latin typeface="Cambria Math" panose="02040503050406030204" pitchFamily="18" charset="0"/>
                      </a:rPr>
                      <m:t>)</m:t>
                    </m:r>
                  </m:oMath>
                </m:oMathPara>
              </a14:m>
              <a:endParaRPr lang="en-CA" sz="1100"/>
            </a:p>
          </xdr:txBody>
        </xdr:sp>
      </mc:Choice>
      <mc:Fallback xmlns="">
        <xdr:sp macro="" textlink="">
          <xdr:nvSpPr>
            <xdr:cNvPr id="32" name="TextBox 31">
              <a:extLst>
                <a:ext uri="{FF2B5EF4-FFF2-40B4-BE49-F238E27FC236}">
                  <a16:creationId xmlns:a16="http://schemas.microsoft.com/office/drawing/2014/main" id="{494AB900-A04F-4F8C-A000-D09B5C788C95}"/>
                </a:ext>
              </a:extLst>
            </xdr:cNvPr>
            <xdr:cNvSpPr txBox="1"/>
          </xdr:nvSpPr>
          <xdr:spPr>
            <a:xfrm>
              <a:off x="685800" y="14025562"/>
              <a:ext cx="499207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𝐹𝑂𝑀30=10〖𝑙𝑜𝑔〗_10 (100∗𝐺𝑎𝑖𝑛(𝑑𝐵)/((𝐹−1)∗𝑃_𝑑𝑐 (𝑚𝑊) )∗𝐼𝐼𝑃3(𝑚𝑊)/(𝑃_𝑑𝑐 (𝑚𝑊) ))+10〖𝑙𝑜𝑔〗_10 ((𝐵𝑊(𝐺ℎ𝑧))/1𝐺ℎ𝑧)</a:t>
              </a:r>
              <a:endParaRPr lang="en-CA" sz="1100"/>
            </a:p>
          </xdr:txBody>
        </xdr:sp>
      </mc:Fallback>
    </mc:AlternateContent>
    <xdr:clientData/>
  </xdr:oneCellAnchor>
  <xdr:oneCellAnchor>
    <xdr:from>
      <xdr:col>1</xdr:col>
      <xdr:colOff>123825</xdr:colOff>
      <xdr:row>76</xdr:row>
      <xdr:rowOff>176212</xdr:rowOff>
    </xdr:from>
    <xdr:ext cx="2253053" cy="358560"/>
    <mc:AlternateContent xmlns:mc="http://schemas.openxmlformats.org/markup-compatibility/2006" xmlns:a14="http://schemas.microsoft.com/office/drawing/2010/main">
      <mc:Choice Requires="a14">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733425" y="14654212"/>
              <a:ext cx="2253053"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31=</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d>
                          <m:dPr>
                            <m:ctrlPr>
                              <a:rPr lang="en-CA" sz="1100" b="0" i="1">
                                <a:latin typeface="Cambria Math" panose="02040503050406030204" pitchFamily="18" charset="0"/>
                              </a:rPr>
                            </m:ctrlPr>
                          </m:dPr>
                          <m:e>
                            <m:r>
                              <a:rPr lang="en-CA" sz="1100" b="0" i="1">
                                <a:latin typeface="Cambria Math" panose="02040503050406030204" pitchFamily="18" charset="0"/>
                              </a:rPr>
                              <m:t>𝑙𝑖𝑛𝑒𝑎𝑟</m:t>
                            </m:r>
                          </m:e>
                        </m:d>
                        <m:r>
                          <a:rPr lang="en-CA" sz="1100" b="0" i="1">
                            <a:latin typeface="Cambria Math" panose="02040503050406030204" pitchFamily="18" charset="0"/>
                          </a:rPr>
                          <m:t>∗</m:t>
                        </m:r>
                        <m:r>
                          <a:rPr lang="en-CA" sz="1100" b="0" i="1">
                            <a:latin typeface="Cambria Math" panose="02040503050406030204" pitchFamily="18" charset="0"/>
                          </a:rPr>
                          <m:t>𝐼𝐼𝑃</m:t>
                        </m:r>
                        <m:r>
                          <a:rPr lang="en-CA" sz="1100" b="0" i="1">
                            <a:latin typeface="Cambria Math" panose="02040503050406030204" pitchFamily="18" charset="0"/>
                          </a:rPr>
                          <m:t>3(</m:t>
                        </m:r>
                        <m:r>
                          <a:rPr lang="en-CA" sz="1100" b="0" i="1">
                            <a:latin typeface="Cambria Math" panose="02040503050406030204" pitchFamily="18" charset="0"/>
                          </a:rPr>
                          <m:t>𝑚𝑊</m:t>
                        </m:r>
                        <m:r>
                          <a:rPr lang="en-CA" sz="1100" b="0" i="1">
                            <a:latin typeface="Cambria Math" panose="02040503050406030204" pitchFamily="18" charset="0"/>
                          </a:rPr>
                          <m:t>)</m:t>
                        </m:r>
                      </m:num>
                      <m:den>
                        <m:d>
                          <m:dPr>
                            <m:ctrlPr>
                              <a:rPr lang="en-CA" sz="1100" b="0" i="1">
                                <a:latin typeface="Cambria Math" panose="02040503050406030204" pitchFamily="18" charset="0"/>
                              </a:rPr>
                            </m:ctrlPr>
                          </m:dPr>
                          <m:e>
                            <m:r>
                              <a:rPr lang="en-CA" sz="1100" b="0" i="1">
                                <a:latin typeface="Cambria Math" panose="02040503050406030204" pitchFamily="18" charset="0"/>
                              </a:rPr>
                              <m:t>𝐹</m:t>
                            </m:r>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a:p>
          </xdr:txBody>
        </xdr:sp>
      </mc:Choice>
      <mc:Fallback xmlns="">
        <xdr:sp macro="" textlink="">
          <xdr:nvSpPr>
            <xdr:cNvPr id="34" name="TextBox 33">
              <a:extLst>
                <a:ext uri="{FF2B5EF4-FFF2-40B4-BE49-F238E27FC236}">
                  <a16:creationId xmlns:a16="http://schemas.microsoft.com/office/drawing/2014/main" id="{60143563-51CA-4384-9AC0-3352A2AEF0D1}"/>
                </a:ext>
              </a:extLst>
            </xdr:cNvPr>
            <xdr:cNvSpPr txBox="1"/>
          </xdr:nvSpPr>
          <xdr:spPr>
            <a:xfrm>
              <a:off x="733425" y="14654212"/>
              <a:ext cx="2253053"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𝐹𝑂𝑀31=(𝐺𝑎𝑖𝑛(𝑙𝑖𝑛𝑒𝑎𝑟)∗𝐼𝐼𝑃3(𝑚𝑊))/((𝐹−1)∗𝑃_𝑑𝑐 (𝑚𝑊))</a:t>
              </a:r>
              <a:endParaRPr lang="en-CA" sz="1100"/>
            </a:p>
          </xdr:txBody>
        </xdr:sp>
      </mc:Fallback>
    </mc:AlternateContent>
    <xdr:clientData/>
  </xdr:oneCellAnchor>
  <xdr:oneCellAnchor>
    <xdr:from>
      <xdr:col>1</xdr:col>
      <xdr:colOff>114300</xdr:colOff>
      <xdr:row>79</xdr:row>
      <xdr:rowOff>166687</xdr:rowOff>
    </xdr:from>
    <xdr:ext cx="2450606" cy="358175"/>
    <mc:AlternateContent xmlns:mc="http://schemas.openxmlformats.org/markup-compatibility/2006" xmlns:a14="http://schemas.microsoft.com/office/drawing/2010/main">
      <mc:Choice Requires="a14">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723900" y="15225712"/>
              <a:ext cx="2450606" cy="358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32=</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d>
                          <m:dPr>
                            <m:ctrlPr>
                              <a:rPr lang="en-CA" sz="1100" b="0" i="1">
                                <a:latin typeface="Cambria Math" panose="02040503050406030204" pitchFamily="18" charset="0"/>
                              </a:rPr>
                            </m:ctrlPr>
                          </m:dPr>
                          <m:e>
                            <m:r>
                              <a:rPr lang="en-CA" sz="1100" b="0" i="1">
                                <a:latin typeface="Cambria Math" panose="02040503050406030204" pitchFamily="18" charset="0"/>
                              </a:rPr>
                              <m:t>𝑑𝐵</m:t>
                            </m:r>
                          </m:e>
                        </m:d>
                        <m:r>
                          <a:rPr lang="en-CA" sz="1100" b="0" i="1">
                            <a:latin typeface="Cambria Math" panose="02040503050406030204" pitchFamily="18" charset="0"/>
                          </a:rPr>
                          <m:t>∗</m:t>
                        </m:r>
                        <m:r>
                          <a:rPr lang="en-CA" sz="1100" b="0" i="1">
                            <a:latin typeface="Cambria Math" panose="02040503050406030204" pitchFamily="18" charset="0"/>
                          </a:rPr>
                          <m:t>𝐵𝑎𝑛𝑑𝑤𝑖𝑑𝑡h</m:t>
                        </m:r>
                        <m:r>
                          <a:rPr lang="en-CA" sz="1100" b="0" i="1">
                            <a:latin typeface="Cambria Math" panose="02040503050406030204" pitchFamily="18" charset="0"/>
                          </a:rPr>
                          <m:t>(</m:t>
                        </m:r>
                        <m:r>
                          <a:rPr lang="en-CA" sz="1100" b="0" i="1">
                            <a:latin typeface="Cambria Math" panose="02040503050406030204" pitchFamily="18" charset="0"/>
                          </a:rPr>
                          <m:t>𝐺h𝑧</m:t>
                        </m:r>
                        <m:r>
                          <a:rPr lang="en-CA" sz="1100" b="0" i="1">
                            <a:latin typeface="Cambria Math" panose="02040503050406030204" pitchFamily="18" charset="0"/>
                          </a:rPr>
                          <m:t>)</m:t>
                        </m:r>
                      </m:num>
                      <m:den>
                        <m:sSub>
                          <m:sSubPr>
                            <m:ctrlPr>
                              <a:rPr lang="en-CA" sz="1100" b="0" i="1">
                                <a:latin typeface="Cambria Math" panose="02040503050406030204" pitchFamily="18" charset="0"/>
                              </a:rPr>
                            </m:ctrlPr>
                          </m:sSubPr>
                          <m:e>
                            <m:r>
                              <a:rPr lang="en-CA" sz="1100" b="0" i="1">
                                <a:latin typeface="Cambria Math" panose="02040503050406030204" pitchFamily="18" charset="0"/>
                              </a:rPr>
                              <m:t>𝑓</m:t>
                            </m:r>
                          </m:e>
                          <m:sub>
                            <m:r>
                              <a:rPr lang="en-CA" sz="1100" b="0" i="1">
                                <a:latin typeface="Cambria Math" panose="02040503050406030204" pitchFamily="18" charset="0"/>
                              </a:rPr>
                              <m:t>𝑜</m:t>
                            </m:r>
                          </m:sub>
                        </m:sSub>
                        <m:r>
                          <a:rPr lang="en-CA" sz="1100" b="0" i="1">
                            <a:latin typeface="Cambria Math" panose="02040503050406030204" pitchFamily="18" charset="0"/>
                          </a:rPr>
                          <m:t>(</m:t>
                        </m:r>
                        <m:r>
                          <a:rPr lang="en-CA" sz="1100" b="0" i="1">
                            <a:latin typeface="Cambria Math" panose="02040503050406030204" pitchFamily="18" charset="0"/>
                          </a:rPr>
                          <m:t>𝐺h𝑧</m:t>
                        </m:r>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a:p>
          </xdr:txBody>
        </xdr:sp>
      </mc:Choice>
      <mc:Fallback xmlns="">
        <xdr:sp macro="" textlink="">
          <xdr:nvSpPr>
            <xdr:cNvPr id="37" name="TextBox 36">
              <a:extLst>
                <a:ext uri="{FF2B5EF4-FFF2-40B4-BE49-F238E27FC236}">
                  <a16:creationId xmlns:a16="http://schemas.microsoft.com/office/drawing/2014/main" id="{E032817D-9D48-4AFC-B909-0620ACF11B87}"/>
                </a:ext>
              </a:extLst>
            </xdr:cNvPr>
            <xdr:cNvSpPr txBox="1"/>
          </xdr:nvSpPr>
          <xdr:spPr>
            <a:xfrm>
              <a:off x="723900" y="15225712"/>
              <a:ext cx="2450606" cy="358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𝐹𝑂𝑀32=(𝐺𝑎𝑖𝑛(𝑑𝐵)∗𝐵𝑎𝑛𝑑𝑤𝑖𝑑𝑡ℎ(𝐺ℎ𝑧))/(𝑓_𝑜 (𝐺ℎ𝑧)∗𝑃_𝑑𝑐 (𝑚𝑊))</a:t>
              </a:r>
              <a:endParaRPr lang="en-CA" sz="1100"/>
            </a:p>
          </xdr:txBody>
        </xdr:sp>
      </mc:Fallback>
    </mc:AlternateContent>
    <xdr:clientData/>
  </xdr:oneCellAnchor>
  <xdr:oneCellAnchor>
    <xdr:from>
      <xdr:col>1</xdr:col>
      <xdr:colOff>133350</xdr:colOff>
      <xdr:row>82</xdr:row>
      <xdr:rowOff>90487</xdr:rowOff>
    </xdr:from>
    <xdr:ext cx="1474955" cy="350096"/>
    <mc:AlternateContent xmlns:mc="http://schemas.openxmlformats.org/markup-compatibility/2006" xmlns:a14="http://schemas.microsoft.com/office/drawing/2010/main">
      <mc:Choice Requires="a14">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742950" y="15721012"/>
              <a:ext cx="1474955" cy="3500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33=</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r>
                          <a:rPr lang="en-CA" sz="1100" b="0" i="1">
                            <a:latin typeface="Cambria Math" panose="02040503050406030204" pitchFamily="18" charset="0"/>
                          </a:rPr>
                          <m:t>𝑙𝑖𝑛𝑒𝑎𝑟</m:t>
                        </m:r>
                        <m:r>
                          <a:rPr lang="en-CA" sz="1100" b="0" i="1">
                            <a:latin typeface="Cambria Math" panose="02040503050406030204" pitchFamily="18" charset="0"/>
                          </a:rPr>
                          <m:t>)</m:t>
                        </m:r>
                      </m:num>
                      <m:den>
                        <m:r>
                          <a:rPr lang="en-CA" sz="1100" b="0" i="1">
                            <a:latin typeface="Cambria Math" panose="02040503050406030204" pitchFamily="18" charset="0"/>
                          </a:rPr>
                          <m:t>𝐹</m:t>
                        </m:r>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a:p>
          </xdr:txBody>
        </xdr:sp>
      </mc:Choice>
      <mc:Fallback xmlns="">
        <xdr:sp macro="" textlink="">
          <xdr:nvSpPr>
            <xdr:cNvPr id="38" name="TextBox 37">
              <a:extLst>
                <a:ext uri="{FF2B5EF4-FFF2-40B4-BE49-F238E27FC236}">
                  <a16:creationId xmlns:a16="http://schemas.microsoft.com/office/drawing/2014/main" id="{DE72EBF7-D985-4B63-BBB8-A6E7A169799B}"/>
                </a:ext>
              </a:extLst>
            </xdr:cNvPr>
            <xdr:cNvSpPr txBox="1"/>
          </xdr:nvSpPr>
          <xdr:spPr>
            <a:xfrm>
              <a:off x="742950" y="15721012"/>
              <a:ext cx="1474955" cy="3500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𝐹𝑂𝑀33=(𝐺𝑎𝑖𝑛(𝑙𝑖𝑛𝑒𝑎𝑟))/(𝐹∗𝑃_𝑑𝑐 (𝑚𝑊))</a:t>
              </a:r>
              <a:endParaRPr lang="en-CA" sz="1100"/>
            </a:p>
          </xdr:txBody>
        </xdr:sp>
      </mc:Fallback>
    </mc:AlternateContent>
    <xdr:clientData/>
  </xdr:oneCellAnchor>
  <xdr:oneCellAnchor>
    <xdr:from>
      <xdr:col>1</xdr:col>
      <xdr:colOff>142875</xdr:colOff>
      <xdr:row>85</xdr:row>
      <xdr:rowOff>23812</xdr:rowOff>
    </xdr:from>
    <xdr:ext cx="2661370" cy="357149"/>
    <mc:AlternateContent xmlns:mc="http://schemas.openxmlformats.org/markup-compatibility/2006" xmlns:a14="http://schemas.microsoft.com/office/drawing/2010/main">
      <mc:Choice Requires="a14">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752475" y="16225837"/>
              <a:ext cx="2661370" cy="357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34=</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d>
                          <m:dPr>
                            <m:ctrlPr>
                              <a:rPr lang="en-CA" sz="1100" b="0" i="1">
                                <a:latin typeface="Cambria Math" panose="02040503050406030204" pitchFamily="18" charset="0"/>
                              </a:rPr>
                            </m:ctrlPr>
                          </m:dPr>
                          <m:e>
                            <m:r>
                              <a:rPr lang="en-CA" sz="1100" b="0" i="1">
                                <a:latin typeface="Cambria Math" panose="02040503050406030204" pitchFamily="18" charset="0"/>
                              </a:rPr>
                              <m:t>𝑙𝑖𝑛𝑒𝑎𝑟</m:t>
                            </m:r>
                          </m:e>
                        </m:d>
                        <m:r>
                          <a:rPr lang="en-CA" sz="1100" b="0" i="1">
                            <a:latin typeface="Cambria Math" panose="02040503050406030204" pitchFamily="18" charset="0"/>
                          </a:rPr>
                          <m:t>∗</m:t>
                        </m:r>
                        <m:r>
                          <a:rPr lang="en-CA" sz="1100" b="0" i="1">
                            <a:latin typeface="Cambria Math" panose="02040503050406030204" pitchFamily="18" charset="0"/>
                          </a:rPr>
                          <m:t>𝐵𝑎𝑛𝑑𝑤𝑖𝑑𝑡h</m:t>
                        </m:r>
                        <m:r>
                          <a:rPr lang="en-CA" sz="1100" b="0" i="1">
                            <a:latin typeface="Cambria Math" panose="02040503050406030204" pitchFamily="18" charset="0"/>
                          </a:rPr>
                          <m:t>(</m:t>
                        </m:r>
                        <m:r>
                          <a:rPr lang="en-CA" sz="1100" b="0" i="1">
                            <a:latin typeface="Cambria Math" panose="02040503050406030204" pitchFamily="18" charset="0"/>
                          </a:rPr>
                          <m:t>𝐺h𝑧</m:t>
                        </m:r>
                        <m:r>
                          <a:rPr lang="en-CA" sz="1100" b="0" i="1">
                            <a:latin typeface="Cambria Math" panose="02040503050406030204" pitchFamily="18" charset="0"/>
                          </a:rPr>
                          <m:t>)</m:t>
                        </m:r>
                      </m:num>
                      <m:den>
                        <m:d>
                          <m:dPr>
                            <m:ctrlPr>
                              <a:rPr lang="en-CA" sz="1100" b="0" i="1">
                                <a:latin typeface="Cambria Math" panose="02040503050406030204" pitchFamily="18" charset="0"/>
                              </a:rPr>
                            </m:ctrlPr>
                          </m:dPr>
                          <m:e>
                            <m:r>
                              <a:rPr lang="en-CA" sz="1100" b="0" i="1">
                                <a:latin typeface="Cambria Math" panose="02040503050406030204" pitchFamily="18" charset="0"/>
                              </a:rPr>
                              <m:t>𝐹</m:t>
                            </m:r>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d>
                          <m:dPr>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𝑓</m:t>
                            </m:r>
                          </m:e>
                          <m:sub>
                            <m:r>
                              <a:rPr lang="en-CA" sz="1100" b="0" i="1">
                                <a:latin typeface="Cambria Math" panose="02040503050406030204" pitchFamily="18" charset="0"/>
                              </a:rPr>
                              <m:t>𝑡</m:t>
                            </m:r>
                          </m:sub>
                        </m:sSub>
                        <m:r>
                          <a:rPr lang="en-CA" sz="1100" b="0" i="1">
                            <a:latin typeface="Cambria Math" panose="02040503050406030204" pitchFamily="18" charset="0"/>
                          </a:rPr>
                          <m:t>(</m:t>
                        </m:r>
                        <m:r>
                          <a:rPr lang="en-CA" sz="1100" b="0" i="1">
                            <a:latin typeface="Cambria Math" panose="02040503050406030204" pitchFamily="18" charset="0"/>
                          </a:rPr>
                          <m:t>𝐺h𝑧</m:t>
                        </m:r>
                        <m:r>
                          <a:rPr lang="en-CA" sz="1100" b="0" i="1">
                            <a:latin typeface="Cambria Math" panose="02040503050406030204" pitchFamily="18" charset="0"/>
                          </a:rPr>
                          <m:t>)</m:t>
                        </m:r>
                      </m:den>
                    </m:f>
                  </m:oMath>
                </m:oMathPara>
              </a14:m>
              <a:endParaRPr lang="en-CA" sz="1100"/>
            </a:p>
          </xdr:txBody>
        </xdr:sp>
      </mc:Choice>
      <mc:Fallback xmlns="">
        <xdr:sp macro="" textlink="">
          <xdr:nvSpPr>
            <xdr:cNvPr id="40" name="TextBox 39">
              <a:extLst>
                <a:ext uri="{FF2B5EF4-FFF2-40B4-BE49-F238E27FC236}">
                  <a16:creationId xmlns:a16="http://schemas.microsoft.com/office/drawing/2014/main" id="{7F056C2F-7DEE-4476-B62C-4E30A3684322}"/>
                </a:ext>
              </a:extLst>
            </xdr:cNvPr>
            <xdr:cNvSpPr txBox="1"/>
          </xdr:nvSpPr>
          <xdr:spPr>
            <a:xfrm>
              <a:off x="752475" y="16225837"/>
              <a:ext cx="2661370" cy="357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𝐹𝑂𝑀34=(𝐺𝑎𝑖𝑛(𝑙𝑖𝑛𝑒𝑎𝑟)∗𝐵𝑎𝑛𝑑𝑤𝑖𝑑𝑡ℎ(𝐺ℎ𝑧))/((𝐹−1)∗𝑃_𝑑𝑐 (𝑚𝑊)∗𝑓_𝑡 (𝐺ℎ𝑧))</a:t>
              </a:r>
              <a:endParaRPr lang="en-CA" sz="1100"/>
            </a:p>
          </xdr:txBody>
        </xdr:sp>
      </mc:Fallback>
    </mc:AlternateContent>
    <xdr:clientData/>
  </xdr:oneCellAnchor>
  <xdr:oneCellAnchor>
    <xdr:from>
      <xdr:col>1</xdr:col>
      <xdr:colOff>114300</xdr:colOff>
      <xdr:row>87</xdr:row>
      <xdr:rowOff>166687</xdr:rowOff>
    </xdr:from>
    <xdr:ext cx="2384051" cy="352469"/>
    <mc:AlternateContent xmlns:mc="http://schemas.openxmlformats.org/markup-compatibility/2006" xmlns:a14="http://schemas.microsoft.com/office/drawing/2010/main">
      <mc:Choice Requires="a14">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723900" y="16749712"/>
              <a:ext cx="2384051"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35=</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r>
                          <a:rPr lang="en-CA" sz="1100" b="0" i="1">
                            <a:latin typeface="Cambria Math" panose="02040503050406030204" pitchFamily="18" charset="0"/>
                          </a:rPr>
                          <m:t>(</m:t>
                        </m:r>
                        <m:r>
                          <a:rPr lang="en-CA" sz="1100" b="0" i="1">
                            <a:latin typeface="Cambria Math" panose="02040503050406030204" pitchFamily="18" charset="0"/>
                          </a:rPr>
                          <m:t>𝑙𝑖𝑛𝑒𝑎𝑟</m:t>
                        </m:r>
                        <m:r>
                          <a:rPr lang="en-CA" sz="1100" b="0" i="1">
                            <a:latin typeface="Cambria Math" panose="02040503050406030204" pitchFamily="18" charset="0"/>
                          </a:rPr>
                          <m:t>)</m:t>
                        </m:r>
                      </m:num>
                      <m:den>
                        <m:d>
                          <m:dPr>
                            <m:ctrlPr>
                              <a:rPr lang="en-CA" sz="1100" b="0" i="1">
                                <a:latin typeface="Cambria Math" panose="02040503050406030204" pitchFamily="18" charset="0"/>
                              </a:rPr>
                            </m:ctrlPr>
                          </m:dPr>
                          <m:e>
                            <m:r>
                              <a:rPr lang="en-CA" sz="1100" b="0" i="1">
                                <a:latin typeface="Cambria Math" panose="02040503050406030204" pitchFamily="18" charset="0"/>
                              </a:rPr>
                              <m:t>𝐹</m:t>
                            </m:r>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d>
                          <m:dPr>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𝑉</m:t>
                            </m:r>
                          </m:e>
                          <m:sub>
                            <m:r>
                              <a:rPr lang="en-CA" sz="1100" b="0" i="1">
                                <a:latin typeface="Cambria Math" panose="02040503050406030204" pitchFamily="18" charset="0"/>
                              </a:rPr>
                              <m:t>𝑑𝑑</m:t>
                            </m:r>
                          </m:sub>
                        </m:sSub>
                        <m:r>
                          <a:rPr lang="en-CA" sz="1100" b="0" i="1">
                            <a:latin typeface="Cambria Math" panose="02040503050406030204" pitchFamily="18" charset="0"/>
                          </a:rPr>
                          <m:t>(</m:t>
                        </m:r>
                        <m:r>
                          <a:rPr lang="en-CA" sz="1100" b="0" i="1">
                            <a:latin typeface="Cambria Math" panose="02040503050406030204" pitchFamily="18" charset="0"/>
                          </a:rPr>
                          <m:t>𝑉</m:t>
                        </m:r>
                        <m:r>
                          <a:rPr lang="en-CA" sz="1100" b="0" i="1">
                            <a:latin typeface="Cambria Math" panose="02040503050406030204" pitchFamily="18" charset="0"/>
                          </a:rPr>
                          <m:t>)</m:t>
                        </m:r>
                      </m:den>
                    </m:f>
                  </m:oMath>
                </m:oMathPara>
              </a14:m>
              <a:endParaRPr lang="en-CA" sz="1100"/>
            </a:p>
          </xdr:txBody>
        </xdr:sp>
      </mc:Choice>
      <mc:Fallback xmlns="">
        <xdr:sp macro="" textlink="">
          <xdr:nvSpPr>
            <xdr:cNvPr id="41" name="TextBox 40">
              <a:extLst>
                <a:ext uri="{FF2B5EF4-FFF2-40B4-BE49-F238E27FC236}">
                  <a16:creationId xmlns:a16="http://schemas.microsoft.com/office/drawing/2014/main" id="{1C030B16-ECE2-461F-B6D6-CDF34797FA0F}"/>
                </a:ext>
              </a:extLst>
            </xdr:cNvPr>
            <xdr:cNvSpPr txBox="1"/>
          </xdr:nvSpPr>
          <xdr:spPr>
            <a:xfrm>
              <a:off x="723900" y="16749712"/>
              <a:ext cx="2384051"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𝐹𝑂𝑀35=(𝐺𝑎𝑖𝑛(𝑙𝑖𝑛𝑒𝑎𝑟))/((𝐹−1)∗𝑃_𝑑𝑐 (𝑚𝑊)∗𝑉_𝑑𝑑 (𝑉))</a:t>
              </a:r>
              <a:endParaRPr lang="en-CA" sz="1100"/>
            </a:p>
          </xdr:txBody>
        </xdr:sp>
      </mc:Fallback>
    </mc:AlternateContent>
    <xdr:clientData/>
  </xdr:oneCellAnchor>
  <xdr:oneCellAnchor>
    <xdr:from>
      <xdr:col>1</xdr:col>
      <xdr:colOff>123825</xdr:colOff>
      <xdr:row>90</xdr:row>
      <xdr:rowOff>104775</xdr:rowOff>
    </xdr:from>
    <xdr:ext cx="2450606" cy="358560"/>
    <mc:AlternateContent xmlns:mc="http://schemas.openxmlformats.org/markup-compatibility/2006" xmlns:a14="http://schemas.microsoft.com/office/drawing/2010/main">
      <mc:Choice Requires="a14">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733425" y="17259300"/>
              <a:ext cx="2450606"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33=</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d>
                          <m:dPr>
                            <m:ctrlPr>
                              <a:rPr lang="en-CA" sz="1100" b="0" i="1">
                                <a:latin typeface="Cambria Math" panose="02040503050406030204" pitchFamily="18" charset="0"/>
                              </a:rPr>
                            </m:ctrlPr>
                          </m:dPr>
                          <m:e>
                            <m:r>
                              <a:rPr lang="en-CA" sz="1100" b="0" i="1">
                                <a:latin typeface="Cambria Math" panose="02040503050406030204" pitchFamily="18" charset="0"/>
                              </a:rPr>
                              <m:t>𝑑𝐵</m:t>
                            </m:r>
                          </m:e>
                        </m:d>
                        <m:r>
                          <a:rPr lang="en-CA" sz="1100" b="0" i="1">
                            <a:latin typeface="Cambria Math" panose="02040503050406030204" pitchFamily="18" charset="0"/>
                          </a:rPr>
                          <m:t>∗</m:t>
                        </m:r>
                        <m:r>
                          <a:rPr lang="en-CA" sz="1100" b="0" i="1">
                            <a:latin typeface="Cambria Math" panose="02040503050406030204" pitchFamily="18" charset="0"/>
                          </a:rPr>
                          <m:t>𝐵𝑎𝑛𝑑𝑤𝑖𝑑𝑡h</m:t>
                        </m:r>
                        <m:r>
                          <a:rPr lang="en-CA" sz="1100" b="0" i="1">
                            <a:latin typeface="Cambria Math" panose="02040503050406030204" pitchFamily="18" charset="0"/>
                          </a:rPr>
                          <m:t>(</m:t>
                        </m:r>
                        <m:r>
                          <a:rPr lang="en-CA" sz="1100" b="0" i="1">
                            <a:latin typeface="Cambria Math" panose="02040503050406030204" pitchFamily="18" charset="0"/>
                          </a:rPr>
                          <m:t>𝐺h𝑧</m:t>
                        </m:r>
                        <m:r>
                          <a:rPr lang="en-CA" sz="1100" b="0" i="1">
                            <a:latin typeface="Cambria Math" panose="02040503050406030204" pitchFamily="18" charset="0"/>
                          </a:rPr>
                          <m:t>)</m:t>
                        </m:r>
                      </m:num>
                      <m:den>
                        <m:r>
                          <a:rPr lang="en-CA" sz="1100" b="0" i="1">
                            <a:latin typeface="Cambria Math" panose="02040503050406030204" pitchFamily="18" charset="0"/>
                          </a:rPr>
                          <m:t>𝐹</m:t>
                        </m:r>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den>
                    </m:f>
                  </m:oMath>
                </m:oMathPara>
              </a14:m>
              <a:endParaRPr lang="en-CA" sz="1100"/>
            </a:p>
          </xdr:txBody>
        </xdr:sp>
      </mc:Choice>
      <mc:Fallback xmlns="">
        <xdr:sp macro="" textlink="">
          <xdr:nvSpPr>
            <xdr:cNvPr id="39" name="TextBox 38">
              <a:extLst>
                <a:ext uri="{FF2B5EF4-FFF2-40B4-BE49-F238E27FC236}">
                  <a16:creationId xmlns:a16="http://schemas.microsoft.com/office/drawing/2014/main" id="{B9D2EA36-8E58-4421-B36A-036320C33698}"/>
                </a:ext>
              </a:extLst>
            </xdr:cNvPr>
            <xdr:cNvSpPr txBox="1"/>
          </xdr:nvSpPr>
          <xdr:spPr>
            <a:xfrm>
              <a:off x="733425" y="17259300"/>
              <a:ext cx="2450606"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𝐹𝑂𝑀33=(𝐺𝑎𝑖𝑛(𝑑𝐵)∗𝐵𝑎𝑛𝑑𝑤𝑖𝑑𝑡ℎ(𝐺ℎ𝑧))/(𝐹∗𝑃_𝑑𝑐 (𝑚𝑊))</a:t>
              </a:r>
              <a:endParaRPr lang="en-CA" sz="1100"/>
            </a:p>
          </xdr:txBody>
        </xdr:sp>
      </mc:Fallback>
    </mc:AlternateContent>
    <xdr:clientData/>
  </xdr:oneCellAnchor>
  <xdr:oneCellAnchor>
    <xdr:from>
      <xdr:col>1</xdr:col>
      <xdr:colOff>123825</xdr:colOff>
      <xdr:row>93</xdr:row>
      <xdr:rowOff>42862</xdr:rowOff>
    </xdr:from>
    <xdr:ext cx="2812116" cy="358560"/>
    <mc:AlternateContent xmlns:mc="http://schemas.openxmlformats.org/markup-compatibility/2006" xmlns:a14="http://schemas.microsoft.com/office/drawing/2010/main">
      <mc:Choice Requires="a14">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733425" y="17768887"/>
              <a:ext cx="2812116"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34=</m:t>
                    </m:r>
                    <m:f>
                      <m:fPr>
                        <m:ctrlPr>
                          <a:rPr lang="en-CA" sz="1100" b="0" i="1">
                            <a:latin typeface="Cambria Math" panose="02040503050406030204" pitchFamily="18" charset="0"/>
                          </a:rPr>
                        </m:ctrlPr>
                      </m:fPr>
                      <m:num>
                        <m:r>
                          <a:rPr lang="en-CA" sz="1100" b="0" i="1">
                            <a:latin typeface="Cambria Math" panose="02040503050406030204" pitchFamily="18" charset="0"/>
                          </a:rPr>
                          <m:t>1000∗</m:t>
                        </m:r>
                        <m:r>
                          <a:rPr lang="en-CA" sz="1100" b="0" i="1">
                            <a:latin typeface="Cambria Math" panose="02040503050406030204" pitchFamily="18" charset="0"/>
                          </a:rPr>
                          <m:t>𝐺𝑎𝑖𝑛</m:t>
                        </m:r>
                        <m:d>
                          <m:dPr>
                            <m:ctrlPr>
                              <a:rPr lang="en-CA" sz="1100" b="0" i="1">
                                <a:latin typeface="Cambria Math" panose="02040503050406030204" pitchFamily="18" charset="0"/>
                              </a:rPr>
                            </m:ctrlPr>
                          </m:dPr>
                          <m:e>
                            <m:r>
                              <a:rPr lang="en-CA" sz="1100" b="0" i="1">
                                <a:latin typeface="Cambria Math" panose="02040503050406030204" pitchFamily="18" charset="0"/>
                              </a:rPr>
                              <m:t>𝑙𝑖𝑛𝑒𝑎𝑟</m:t>
                            </m:r>
                          </m:e>
                        </m:d>
                        <m:r>
                          <a:rPr lang="en-CA" sz="1100" b="0" i="1">
                            <a:latin typeface="Cambria Math" panose="02040503050406030204" pitchFamily="18" charset="0"/>
                          </a:rPr>
                          <m:t>∗</m:t>
                        </m:r>
                        <m:r>
                          <a:rPr lang="en-CA" sz="1100" b="0" i="1">
                            <a:latin typeface="Cambria Math" panose="02040503050406030204" pitchFamily="18" charset="0"/>
                          </a:rPr>
                          <m:t>𝑖𝑃</m:t>
                        </m:r>
                        <m:r>
                          <a:rPr lang="en-CA" sz="1100" b="0" i="1">
                            <a:latin typeface="Cambria Math" panose="02040503050406030204" pitchFamily="18" charset="0"/>
                          </a:rPr>
                          <m:t>1</m:t>
                        </m:r>
                        <m:r>
                          <a:rPr lang="en-CA" sz="1100" b="0" i="1">
                            <a:latin typeface="Cambria Math" panose="02040503050406030204" pitchFamily="18" charset="0"/>
                          </a:rPr>
                          <m:t>𝑑𝐵</m:t>
                        </m:r>
                        <m:r>
                          <a:rPr lang="en-CA" sz="1100" b="0" i="1">
                            <a:latin typeface="Cambria Math" panose="02040503050406030204" pitchFamily="18" charset="0"/>
                          </a:rPr>
                          <m:t>(</m:t>
                        </m:r>
                        <m:r>
                          <a:rPr lang="en-CA" sz="1100" b="0" i="1">
                            <a:latin typeface="Cambria Math" panose="02040503050406030204" pitchFamily="18" charset="0"/>
                          </a:rPr>
                          <m:t>𝑚𝑊</m:t>
                        </m:r>
                        <m:r>
                          <a:rPr lang="en-CA" sz="1100" b="0" i="1">
                            <a:latin typeface="Cambria Math" panose="02040503050406030204" pitchFamily="18" charset="0"/>
                          </a:rPr>
                          <m:t>)</m:t>
                        </m:r>
                      </m:num>
                      <m:den>
                        <m:d>
                          <m:dPr>
                            <m:ctrlPr>
                              <a:rPr lang="en-CA" sz="1100" b="0" i="1">
                                <a:latin typeface="Cambria Math" panose="02040503050406030204" pitchFamily="18" charset="0"/>
                              </a:rPr>
                            </m:ctrlPr>
                          </m:dPr>
                          <m:e>
                            <m:r>
                              <a:rPr lang="en-CA" sz="1100" b="0" i="1">
                                <a:latin typeface="Cambria Math" panose="02040503050406030204" pitchFamily="18" charset="0"/>
                              </a:rPr>
                              <m:t>𝐹</m:t>
                            </m:r>
                            <m:r>
                              <a:rPr lang="en-CA" sz="1100" b="0" i="1">
                                <a:latin typeface="Cambria Math" panose="02040503050406030204" pitchFamily="18" charset="0"/>
                              </a:rPr>
                              <m:t>−1</m:t>
                            </m:r>
                          </m:e>
                        </m:d>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d>
                          <m:dPr>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r>
                          <a:rPr lang="en-CA" sz="1100" b="0" i="1">
                            <a:latin typeface="Cambria Math" panose="02040503050406030204" pitchFamily="18" charset="0"/>
                          </a:rPr>
                          <m:t>𝐴</m:t>
                        </m:r>
                        <m:r>
                          <a:rPr lang="en-CA" sz="1100" b="0" i="1">
                            <a:latin typeface="Cambria Math" panose="02040503050406030204" pitchFamily="18" charset="0"/>
                          </a:rPr>
                          <m:t>(</m:t>
                        </m:r>
                        <m:r>
                          <a:rPr lang="en-CA" sz="1100" b="0" i="1">
                            <a:latin typeface="Cambria Math" panose="02040503050406030204" pitchFamily="18" charset="0"/>
                          </a:rPr>
                          <m:t>𝑚</m:t>
                        </m:r>
                        <m:sSup>
                          <m:sSupPr>
                            <m:ctrlPr>
                              <a:rPr lang="en-CA" sz="1100" b="0" i="1">
                                <a:latin typeface="Cambria Math" panose="02040503050406030204" pitchFamily="18" charset="0"/>
                              </a:rPr>
                            </m:ctrlPr>
                          </m:sSupPr>
                          <m:e>
                            <m:r>
                              <a:rPr lang="en-CA" sz="1100" b="0" i="1">
                                <a:latin typeface="Cambria Math" panose="02040503050406030204" pitchFamily="18" charset="0"/>
                              </a:rPr>
                              <m:t>𝑚</m:t>
                            </m:r>
                          </m:e>
                          <m:sup>
                            <m:r>
                              <a:rPr lang="en-CA" sz="1100" b="0" i="1">
                                <a:latin typeface="Cambria Math" panose="02040503050406030204" pitchFamily="18" charset="0"/>
                              </a:rPr>
                              <m:t>2</m:t>
                            </m:r>
                          </m:sup>
                        </m:sSup>
                        <m:r>
                          <a:rPr lang="en-CA" sz="1100" b="0" i="1">
                            <a:latin typeface="Cambria Math" panose="02040503050406030204" pitchFamily="18" charset="0"/>
                          </a:rPr>
                          <m:t>)</m:t>
                        </m:r>
                      </m:den>
                    </m:f>
                  </m:oMath>
                </m:oMathPara>
              </a14:m>
              <a:endParaRPr lang="en-CA" sz="1100"/>
            </a:p>
          </xdr:txBody>
        </xdr:sp>
      </mc:Choice>
      <mc:Fallback xmlns="">
        <xdr:sp macro="" textlink="">
          <xdr:nvSpPr>
            <xdr:cNvPr id="35" name="TextBox 34">
              <a:extLst>
                <a:ext uri="{FF2B5EF4-FFF2-40B4-BE49-F238E27FC236}">
                  <a16:creationId xmlns:a16="http://schemas.microsoft.com/office/drawing/2014/main" id="{0FDA5D98-CD7E-40C9-AB7B-175BF9F9D12E}"/>
                </a:ext>
              </a:extLst>
            </xdr:cNvPr>
            <xdr:cNvSpPr txBox="1"/>
          </xdr:nvSpPr>
          <xdr:spPr>
            <a:xfrm>
              <a:off x="733425" y="17768887"/>
              <a:ext cx="2812116"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𝐹𝑂𝑀34=(1000∗𝐺𝑎𝑖𝑛(𝑙𝑖𝑛𝑒𝑎𝑟)∗𝑖𝑃1𝑑𝐵(𝑚𝑊))/((𝐹−1)∗𝑃_𝑑𝑐 (𝑚𝑊)∗𝐴(𝑚𝑚^2))</a:t>
              </a:r>
              <a:endParaRPr lang="en-CA" sz="1100"/>
            </a:p>
          </xdr:txBody>
        </xdr:sp>
      </mc:Fallback>
    </mc:AlternateContent>
    <xdr:clientData/>
  </xdr:oneCellAnchor>
  <xdr:oneCellAnchor>
    <xdr:from>
      <xdr:col>1</xdr:col>
      <xdr:colOff>114300</xdr:colOff>
      <xdr:row>95</xdr:row>
      <xdr:rowOff>176212</xdr:rowOff>
    </xdr:from>
    <xdr:ext cx="2513765" cy="358560"/>
    <mc:AlternateContent xmlns:mc="http://schemas.openxmlformats.org/markup-compatibility/2006" xmlns:a14="http://schemas.microsoft.com/office/drawing/2010/main">
      <mc:Choice Requires="a14">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723900" y="18283237"/>
              <a:ext cx="2513765"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𝐹𝑂𝑀</m:t>
                    </m:r>
                    <m:r>
                      <a:rPr lang="en-CA" sz="1100" b="0" i="1">
                        <a:latin typeface="Cambria Math" panose="02040503050406030204" pitchFamily="18" charset="0"/>
                      </a:rPr>
                      <m:t>35=</m:t>
                    </m:r>
                    <m:f>
                      <m:fPr>
                        <m:ctrlPr>
                          <a:rPr lang="en-CA" sz="1100" b="0" i="1">
                            <a:latin typeface="Cambria Math" panose="02040503050406030204" pitchFamily="18" charset="0"/>
                          </a:rPr>
                        </m:ctrlPr>
                      </m:fPr>
                      <m:num>
                        <m:r>
                          <a:rPr lang="en-CA" sz="1100" b="0" i="1">
                            <a:latin typeface="Cambria Math" panose="02040503050406030204" pitchFamily="18" charset="0"/>
                          </a:rPr>
                          <m:t>𝐺𝑎𝑖𝑛</m:t>
                        </m:r>
                        <m:d>
                          <m:dPr>
                            <m:ctrlPr>
                              <a:rPr lang="en-CA" sz="1100" b="0" i="1">
                                <a:latin typeface="Cambria Math" panose="02040503050406030204" pitchFamily="18" charset="0"/>
                              </a:rPr>
                            </m:ctrlPr>
                          </m:dPr>
                          <m:e>
                            <m:r>
                              <a:rPr lang="en-CA" sz="1100" b="0" i="1">
                                <a:latin typeface="Cambria Math" panose="02040503050406030204" pitchFamily="18" charset="0"/>
                              </a:rPr>
                              <m:t>𝑑𝐵</m:t>
                            </m:r>
                          </m:e>
                        </m:d>
                        <m:r>
                          <a:rPr lang="en-CA" sz="1100" b="0" i="1">
                            <a:latin typeface="Cambria Math" panose="02040503050406030204" pitchFamily="18" charset="0"/>
                          </a:rPr>
                          <m:t>∗</m:t>
                        </m:r>
                        <m:r>
                          <a:rPr lang="en-CA" sz="1100" b="0" i="1">
                            <a:latin typeface="Cambria Math" panose="02040503050406030204" pitchFamily="18" charset="0"/>
                          </a:rPr>
                          <m:t>𝐵𝑎𝑛𝑑𝑤𝑖𝑑𝑡h</m:t>
                        </m:r>
                        <m:d>
                          <m:dPr>
                            <m:ctrlPr>
                              <a:rPr lang="en-CA" sz="1100" b="0" i="1">
                                <a:latin typeface="Cambria Math" panose="02040503050406030204" pitchFamily="18" charset="0"/>
                              </a:rPr>
                            </m:ctrlPr>
                          </m:dPr>
                          <m:e>
                            <m:r>
                              <a:rPr lang="en-CA" sz="1100" b="0" i="1">
                                <a:latin typeface="Cambria Math" panose="02040503050406030204" pitchFamily="18" charset="0"/>
                              </a:rPr>
                              <m:t>𝐺h𝑧</m:t>
                            </m:r>
                          </m:e>
                        </m:d>
                      </m:num>
                      <m:den>
                        <m:r>
                          <a:rPr lang="en-CA" sz="1100" b="0" i="1">
                            <a:latin typeface="Cambria Math" panose="02040503050406030204" pitchFamily="18" charset="0"/>
                          </a:rPr>
                          <m:t>𝑁𝐹</m:t>
                        </m:r>
                        <m:r>
                          <a:rPr lang="en-CA" sz="1100" b="0" i="1">
                            <a:latin typeface="Cambria Math" panose="02040503050406030204" pitchFamily="18" charset="0"/>
                          </a:rPr>
                          <m:t>(</m:t>
                        </m:r>
                        <m:r>
                          <a:rPr lang="en-CA" sz="1100" b="0" i="1">
                            <a:latin typeface="Cambria Math" panose="02040503050406030204" pitchFamily="18" charset="0"/>
                          </a:rPr>
                          <m:t>𝑑𝐵</m:t>
                        </m:r>
                        <m:r>
                          <a:rPr lang="en-CA" sz="1100" b="0" i="1">
                            <a:latin typeface="Cambria Math" panose="02040503050406030204" pitchFamily="18" charset="0"/>
                          </a:rPr>
                          <m:t>)∗</m:t>
                        </m:r>
                        <m:sSub>
                          <m:sSubPr>
                            <m:ctrlPr>
                              <a:rPr lang="en-CA" sz="1100" b="0" i="1">
                                <a:latin typeface="Cambria Math" panose="02040503050406030204" pitchFamily="18" charset="0"/>
                              </a:rPr>
                            </m:ctrlPr>
                          </m:sSubPr>
                          <m:e>
                            <m:r>
                              <a:rPr lang="en-CA" sz="1100" b="0" i="1">
                                <a:latin typeface="Cambria Math" panose="02040503050406030204" pitchFamily="18" charset="0"/>
                              </a:rPr>
                              <m:t>𝑃</m:t>
                            </m:r>
                          </m:e>
                          <m:sub>
                            <m:r>
                              <a:rPr lang="en-CA" sz="1100" b="0" i="1">
                                <a:latin typeface="Cambria Math" panose="02040503050406030204" pitchFamily="18" charset="0"/>
                              </a:rPr>
                              <m:t>𝑑𝑐</m:t>
                            </m:r>
                          </m:sub>
                        </m:sSub>
                        <m:d>
                          <m:dPr>
                            <m:ctrlPr>
                              <a:rPr lang="en-CA" sz="1100" b="0" i="1">
                                <a:latin typeface="Cambria Math" panose="02040503050406030204" pitchFamily="18" charset="0"/>
                              </a:rPr>
                            </m:ctrlPr>
                          </m:dPr>
                          <m:e>
                            <m:r>
                              <a:rPr lang="en-CA" sz="1100" b="0" i="1">
                                <a:latin typeface="Cambria Math" panose="02040503050406030204" pitchFamily="18" charset="0"/>
                              </a:rPr>
                              <m:t>𝑚𝑊</m:t>
                            </m:r>
                          </m:e>
                        </m:d>
                        <m:r>
                          <a:rPr lang="en-CA" sz="1100" b="0" i="1">
                            <a:latin typeface="Cambria Math" panose="02040503050406030204" pitchFamily="18" charset="0"/>
                          </a:rPr>
                          <m:t>∗</m:t>
                        </m:r>
                        <m:r>
                          <a:rPr lang="en-CA" sz="1100" b="0" i="1">
                            <a:latin typeface="Cambria Math" panose="02040503050406030204" pitchFamily="18" charset="0"/>
                          </a:rPr>
                          <m:t>𝐴</m:t>
                        </m:r>
                        <m:r>
                          <a:rPr lang="en-CA" sz="1100" b="0" i="1">
                            <a:latin typeface="Cambria Math" panose="02040503050406030204" pitchFamily="18" charset="0"/>
                          </a:rPr>
                          <m:t>(</m:t>
                        </m:r>
                        <m:r>
                          <a:rPr lang="en-CA" sz="1100" b="0" i="1">
                            <a:latin typeface="Cambria Math" panose="02040503050406030204" pitchFamily="18" charset="0"/>
                          </a:rPr>
                          <m:t>𝑚</m:t>
                        </m:r>
                        <m:sSup>
                          <m:sSupPr>
                            <m:ctrlPr>
                              <a:rPr lang="en-CA" sz="1100" b="0" i="1">
                                <a:latin typeface="Cambria Math" panose="02040503050406030204" pitchFamily="18" charset="0"/>
                              </a:rPr>
                            </m:ctrlPr>
                          </m:sSupPr>
                          <m:e>
                            <m:r>
                              <a:rPr lang="en-CA" sz="1100" b="0" i="1">
                                <a:latin typeface="Cambria Math" panose="02040503050406030204" pitchFamily="18" charset="0"/>
                              </a:rPr>
                              <m:t>𝑚</m:t>
                            </m:r>
                          </m:e>
                          <m:sup>
                            <m:r>
                              <a:rPr lang="en-CA" sz="1100" b="0" i="1">
                                <a:latin typeface="Cambria Math" panose="02040503050406030204" pitchFamily="18" charset="0"/>
                              </a:rPr>
                              <m:t>2</m:t>
                            </m:r>
                          </m:sup>
                        </m:sSup>
                        <m:r>
                          <a:rPr lang="en-CA" sz="1100" b="0" i="1">
                            <a:latin typeface="Cambria Math" panose="02040503050406030204" pitchFamily="18" charset="0"/>
                          </a:rPr>
                          <m:t>)</m:t>
                        </m:r>
                      </m:den>
                    </m:f>
                  </m:oMath>
                </m:oMathPara>
              </a14:m>
              <a:endParaRPr lang="en-CA" sz="1100"/>
            </a:p>
          </xdr:txBody>
        </xdr:sp>
      </mc:Choice>
      <mc:Fallback xmlns="">
        <xdr:sp macro="" textlink="">
          <xdr:nvSpPr>
            <xdr:cNvPr id="36" name="TextBox 35">
              <a:extLst>
                <a:ext uri="{FF2B5EF4-FFF2-40B4-BE49-F238E27FC236}">
                  <a16:creationId xmlns:a16="http://schemas.microsoft.com/office/drawing/2014/main" id="{6A89B12D-0783-4DEF-BB28-BBBA52F99F43}"/>
                </a:ext>
              </a:extLst>
            </xdr:cNvPr>
            <xdr:cNvSpPr txBox="1"/>
          </xdr:nvSpPr>
          <xdr:spPr>
            <a:xfrm>
              <a:off x="723900" y="18283237"/>
              <a:ext cx="2513765"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𝐹𝑂𝑀35=(𝐺𝑎𝑖𝑛(𝑑𝐵)∗𝐵𝑎𝑛𝑑𝑤𝑖𝑑𝑡ℎ(𝐺ℎ𝑧))/(𝑁𝐹(𝑑𝐵)∗𝑃_𝑑𝑐 (𝑚𝑊)∗𝐴(𝑚𝑚^2))</a:t>
              </a:r>
              <a:endParaRPr lang="en-CA" sz="1100"/>
            </a:p>
          </xdr:txBody>
        </xdr:sp>
      </mc:Fallback>
    </mc:AlternateContent>
    <xdr:clientData/>
  </xdr:oneCellAnchor>
</xdr:wsDr>
</file>

<file path=xl/persons/person.xml><?xml version="1.0" encoding="utf-8"?>
<personList xmlns="http://schemas.microsoft.com/office/spreadsheetml/2018/threadedcomments" xmlns:x="http://schemas.openxmlformats.org/spreadsheetml/2006/main">
  <person displayName="Sameep jagtap" id="{C73FEEBE-AC4E-4764-845F-40A0FFDA82FD}" userId="Sameep jagtap" providerId="None"/>
  <person displayName="Leonid Belostotski" id="{B8C698E4-DF80-4AAF-AD01-485BE48ACA5F}" userId="Leonid Belostotski" providerId="None"/>
  <person displayName="Sameep jagtap" id="{2AF62947-26FC-42C7-8550-E3C78754F5EC}" userId="S::sameep.jagtap@ucalgary.ca::7915c89f-56fa-45a6-a9c3-ba55b7dd2c0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1" dT="2021-05-08T15:53:32.01" personId="{B8C698E4-DF80-4AAF-AD01-485BE48ACA5F}" id="{D873840E-BE95-4A91-B609-1CE2DF8F855F}">
    <text>Coefficient for FOM is found in "CMOS FOM coeff. calculation" tab</text>
  </threadedComment>
  <threadedComment ref="L4" dT="2019-12-10T18:13:16.85" personId="{C73FEEBE-AC4E-4764-845F-40A0FFDA82FD}" id="{3DAC1DEC-5765-4362-8276-3A146ECC4B9F}">
    <text>power gain</text>
  </threadedComment>
  <threadedComment ref="AB9" dT="2019-05-08T20:36:10.20" personId="{C73FEEBE-AC4E-4764-845F-40A0FFDA82FD}" id="{051C8678-5857-447F-A187-1EB44BCFDA93}">
    <text>everything below this has good abstract</text>
  </threadedComment>
  <threadedComment ref="AA25" dT="2019-05-13T17:43:35.19" personId="{C73FEEBE-AC4E-4764-845F-40A0FFDA82FD}" id="{107F7ED3-6A99-41BA-9F2B-901A11D61C17}">
    <text>area stuff starts here</text>
  </threadedComment>
  <threadedComment ref="B34" dT="2019-12-12T21:14:29.48" personId="{C73FEEBE-AC4E-4764-845F-40A0FFDA82FD}" id="{3C523CA3-68E9-4E60-B7D4-FE769C74291E}">
    <text>variable gain</text>
  </threadedComment>
  <threadedComment ref="M39" dT="2019-08-18T20:26:24.71" personId="{C73FEEBE-AC4E-4764-845F-40A0FFDA82FD}" id="{3893933E-7673-401D-855B-E1F70121C073}">
    <text>Power also drawn from a 1.8V supply</text>
  </threadedComment>
  <threadedComment ref="M42" dT="2019-08-18T20:34:37.91" personId="{C73FEEBE-AC4E-4764-845F-40A0FFDA82FD}" id="{9EF34B6A-870B-4B87-81CB-FEFFB790CC3F}">
    <text>A 1.8V supply is also used</text>
  </threadedComment>
  <threadedComment ref="L43" dT="2019-06-04T17:20:17.48" personId="{C73FEEBE-AC4E-4764-845F-40A0FFDA82FD}" id="{55997FD2-CAD2-4852-8B7E-7914F5AA61F0}">
    <text>This is a VGLNA with variable gain of 46dB</text>
  </threadedComment>
  <threadedComment ref="L218" dT="2019-06-17T18:56:45.85" personId="{C73FEEBE-AC4E-4764-845F-40A0FFDA82FD}" id="{4FA20CEE-6F8B-4B8B-AAD3-F4832986F648}">
    <text>This LNA can also have gains of -7dB. 8dB and 20dB</text>
  </threadedComment>
  <threadedComment ref="L219" dT="2019-06-18T17:25:34.81" personId="{C73FEEBE-AC4E-4764-845F-40A0FFDA82FD}" id="{59B9A23A-65E2-445E-8A66-90E464328F18}">
    <text>programmable gain from -10dB to 8dB</text>
  </threadedComment>
  <threadedComment ref="L235" dT="2019-06-20T19:36:44.32" personId="{C73FEEBE-AC4E-4764-845F-40A0FFDA82FD}" id="{4EB39D72-ED2A-4376-A265-F72BC5DAECF0}">
    <text>Gain can be changed from 14dB to 21dB</text>
  </threadedComment>
  <threadedComment ref="L250" dT="2019-06-23T20:18:05.46" personId="{C73FEEBE-AC4E-4764-845F-40A0FFDA82FD}" id="{F341C2FE-3AC9-4526-8AD3-35D511FBF50A}">
    <text>This LNA has gain modes of high, medium and low</text>
  </threadedComment>
  <threadedComment ref="L261" dT="2019-06-24T19:17:55.08" personId="{C73FEEBE-AC4E-4764-845F-40A0FFDA82FD}" id="{2BC6E39C-745E-4C30-9AA5-FA0470C31EDA}">
    <text>Has low gain and high gain of 10dB and 19dB</text>
  </threadedComment>
  <threadedComment ref="L262" dT="2019-06-24T19:38:34.46" personId="{C73FEEBE-AC4E-4764-845F-40A0FFDA82FD}" id="{D787D1A1-074A-48CF-A8DE-53B0C8CA053A}">
    <text>Has a gain tunability of 9dB</text>
  </threadedComment>
  <threadedComment ref="L263" dT="2019-06-24T19:50:51.52" personId="{C73FEEBE-AC4E-4764-845F-40A0FFDA82FD}" id="{52A11BA0-F322-4014-9F8E-1801D80CD4F0}">
    <text>Gain can be varied from 13dB to 22dB</text>
  </threadedComment>
  <threadedComment ref="B271" dT="2019-12-18T20:44:22.58" personId="{C73FEEBE-AC4E-4764-845F-40A0FFDA82FD}" id="{1F23BDDD-ECFD-40A3-845F-DC6C9AA9BF16}">
    <text>variable mode lna with different S11 narrowband spikes at different frequencies</text>
  </threadedComment>
  <threadedComment ref="L271" dT="2019-06-25T20:21:07.99" personId="{C73FEEBE-AC4E-4764-845F-40A0FFDA82FD}" id="{9E318276-FE9F-4B56-8A8D-2D5B0E351CD3}">
    <text>Programmable gain from 13dB to 22dB</text>
  </threadedComment>
  <threadedComment ref="L272" dT="2019-06-25T20:21:43.72" personId="{C73FEEBE-AC4E-4764-845F-40A0FFDA82FD}" id="{2F0DF63C-B19B-4FD5-90CC-3E0C777DA88F}">
    <text>Programmable gain from 14dB to 24dB</text>
  </threadedComment>
  <threadedComment ref="L279" dT="2019-06-25T21:58:26.94" personId="{C73FEEBE-AC4E-4764-845F-40A0FFDA82FD}" id="{15A6D775-1991-4C0D-A474-6167C5DF0EBC}">
    <text>This LNA has a high gain mode of 17.5dB and a low gain mode of 9.5dB</text>
  </threadedComment>
  <threadedComment ref="L280" dT="2019-06-26T16:55:18.46" personId="{C73FEEBE-AC4E-4764-845F-40A0FFDA82FD}" id="{94965D7B-4838-4928-ABD4-8B999DF4FC4A}">
    <text>Gain can be varied from 18 to 29.6</text>
  </threadedComment>
  <threadedComment ref="P289" dT="2020-12-02T20:54:11.39" personId="{B8C698E4-DF80-4AAF-AD01-485BE48ACA5F}" id="{33CE94AF-EA73-4240-B692-6ECA2A4BC0BA}">
    <text>includes antenna</text>
  </threadedComment>
  <threadedComment ref="M367" dT="2019-09-02T03:46:53.62" personId="{C73FEEBE-AC4E-4764-845F-40A0FFDA82FD}" id="{AE4ACA2E-C7D4-4D28-A108-3931750B79F9}">
    <text>Second stage operates with 1V</text>
  </threadedComment>
  <threadedComment ref="L379" dT="2019-07-05T20:24:07.11" personId="{C73FEEBE-AC4E-4764-845F-40A0FFDA82FD}" id="{0A4031A0-0438-4B53-89CA-1D13B74730D9}">
    <text>This is a VGLNA with gain range from 8dB to 26dB</text>
  </threadedComment>
  <threadedComment ref="M412" dT="2019-09-02T04:12:16.32" personId="{C73FEEBE-AC4E-4764-845F-40A0FFDA82FD}" id="{AF12B28F-2128-41F2-84C4-B9BCE624DDA4}">
    <text>A 1V supply is also used</text>
  </threadedComment>
  <threadedComment ref="M477" dT="2019-07-25T20:16:56.84" personId="{C73FEEBE-AC4E-4764-845F-40A0FFDA82FD}" id="{E03ACBAC-C6AE-4870-9547-98F07802EAE9}">
    <text>1st, 2nd, 3rd, 4th stage biased at 0.7V, 1.4V, 1.4V, 0.6V</text>
  </threadedComment>
  <threadedComment ref="M482" dT="2019-07-26T17:09:54.40" personId="{C73FEEBE-AC4E-4764-845F-40A0FFDA82FD}" id="{C6AF1899-DCD6-48AC-8CB3-0874E529844D}">
    <text>Vdd1=1.5, Vg1=0.75, Vdd2=1.5,Vg2=0.75, Vdd3=1.2, Vg3=0.65, Vg4=0.45</text>
  </threadedComment>
  <threadedComment ref="M492" dT="2019-07-29T20:43:53.50" personId="{C73FEEBE-AC4E-4764-845F-40A0FFDA82FD}" id="{87E4C975-0229-486F-84F1-2364C30E60CC}">
    <text>Vd=0.28V, Vg=0.38V</text>
  </threadedComment>
  <threadedComment ref="L537" dT="2019-07-30T17:33:00.29" personId="{C73FEEBE-AC4E-4764-845F-40A0FFDA82FD}" id="{1C54D93E-CC91-4A5E-B86B-41687D29CC7E}">
    <text>Gain can be controlled from 3.6dB to 12.5dB</text>
  </threadedComment>
  <threadedComment ref="M562" dT="2019-07-31T18:19:00.58" personId="{C73FEEBE-AC4E-4764-845F-40A0FFDA82FD}" id="{8AC37C13-349C-4778-AC54-C50198ED50F7}">
    <text>Vdd1=1.2V, Vdd2=1.4V</text>
  </threadedComment>
  <threadedComment ref="M577" dT="2019-08-01T00:34:24.04" personId="{C73FEEBE-AC4E-4764-845F-40A0FFDA82FD}" id="{D7ACD219-9789-4701-A9F0-F50C6A90BA49}">
    <text>Vd1,2,3=1.5V</text>
  </threadedComment>
  <threadedComment ref="M587" dT="2019-08-01T17:12:59.79" personId="{C73FEEBE-AC4E-4764-845F-40A0FFDA82FD}" id="{8A08F05F-C141-44B3-844B-2AA0AA92254C}">
    <text>Vdd=1.8V, Vgs1=0.62V, Vgs2,3=0,7V</text>
  </threadedComment>
  <threadedComment ref="M608" dT="2019-08-02T03:05:43.30" personId="{C73FEEBE-AC4E-4764-845F-40A0FFDA82FD}" id="{C6B5B7DB-2489-46AC-B645-15C938FABE17}">
    <text>Vgs=0.75V</text>
  </threadedComment>
  <threadedComment ref="L618" dT="2019-08-02T20:15:28.51" personId="{C73FEEBE-AC4E-4764-845F-40A0FFDA82FD}" id="{29C29021-108B-4093-A4A2-EA0CFA2F073E}">
    <text>This is a VGLNA with gain control of 10.8dB</text>
  </threadedComment>
</ThreadedComments>
</file>

<file path=xl/threadedComments/threadedComment2.xml><?xml version="1.0" encoding="utf-8"?>
<ThreadedComments xmlns="http://schemas.microsoft.com/office/spreadsheetml/2018/threadedcomments" xmlns:x="http://schemas.openxmlformats.org/spreadsheetml/2006/main">
  <threadedComment ref="M48" dT="2019-09-03T02:12:27.15" personId="{C73FEEBE-AC4E-4764-845F-40A0FFDA82FD}" id="{E94F5FF6-329B-4C2C-A61A-45FCE2223D6E}">
    <text>Last stage is biased at 2.5V</text>
  </threadedComment>
  <threadedComment ref="M58" dT="2019-07-25T21:37:22.51" personId="{C73FEEBE-AC4E-4764-845F-40A0FFDA82FD}" id="{5221B344-FBB4-4F02-9B83-4DD3EF8BD892}">
    <text>VGS,1=0.05V,VDS,1=0.5V,VGS,2=0.3V , VDS,2=0.6V for the first and second stage according to the paper</text>
  </threadedComment>
  <threadedComment ref="M59" dT="2019-07-26T17:32:12.88" personId="{C73FEEBE-AC4E-4764-845F-40A0FFDA82FD}" id="{3738D892-241F-4B54-9EF4-7F024E8E5D38}">
    <text>Rf input=0.1V, RF output=1.4</text>
  </threadedComment>
  <threadedComment ref="M68" dT="2019-07-28T01:14:21.30" personId="{C73FEEBE-AC4E-4764-845F-40A0FFDA82FD}" id="{08B821C6-EEF1-4F04-BA1D-35476C56E6CC}">
    <text>Vgs=0.15, Vds=1</text>
  </threadedComment>
  <threadedComment ref="M74" dT="2019-07-29T19:21:52.80" personId="{C73FEEBE-AC4E-4764-845F-40A0FFDA82FD}" id="{A5360156-167B-469B-B79A-718D8938FC54}">
    <text>Vd1=2.4V, Vd2=4</text>
  </threadedComment>
  <threadedComment ref="M80" dT="2019-07-30T16:54:34.79" personId="{C73FEEBE-AC4E-4764-845F-40A0FFDA82FD}" id="{2A7CAF85-2D21-4BDE-B79D-3EA0D2F8762C}">
    <text>bias of the first stage was changed from 0.2V to 1V, while,bias of other stages fixed at 0.6V</text>
  </threadedComment>
  <threadedComment ref="M100" dT="2019-08-02T16:46:54.02" personId="{C73FEEBE-AC4E-4764-845F-40A0FFDA82FD}" id="{E30061ED-130A-4793-A29F-7A01F44146A8}">
    <text>Vd=2V, Vg1=-0.4V, Vg2,3=-0.5V</text>
  </threadedComment>
</ThreadedComments>
</file>

<file path=xl/threadedComments/threadedComment3.xml><?xml version="1.0" encoding="utf-8"?>
<ThreadedComments xmlns="http://schemas.microsoft.com/office/spreadsheetml/2018/threadedcomments" xmlns:x="http://schemas.openxmlformats.org/spreadsheetml/2006/main">
  <threadedComment ref="O4" dT="2019-05-30T17:58:53.80" personId="{C73FEEBE-AC4E-4764-845F-40A0FFDA82FD}" id="{FB5E8658-DAE8-4817-A8B2-31F916C5F70E}">
    <text>At room temperature</text>
  </threadedComment>
  <threadedComment ref="I12" dT="2019-06-05T21:41:50.26" personId="{C73FEEBE-AC4E-4764-845F-40A0FFDA82FD}" id="{2E902A45-078C-4084-A33D-D10373BFC25D}">
    <text>at room temperature</text>
  </threadedComment>
  <threadedComment ref="I13" dT="2019-06-05T21:47:00.15" personId="{C73FEEBE-AC4E-4764-845F-40A0FFDA82FD}" id="{8B848E2D-F006-4DBD-A137-EBFC87931FD6}">
    <text>at room temperature</text>
  </threadedComment>
  <threadedComment ref="O64" dT="2019-07-24T18:19:50.51" personId="{C73FEEBE-AC4E-4764-845F-40A0FFDA82FD}" id="{B35B570F-A793-4133-828B-FD9A1EC90216}">
    <text>This is the gain at 300K</text>
  </threadedComment>
  <threadedComment ref="P77" dT="2019-07-29T18:15:35.94" personId="{C73FEEBE-AC4E-4764-845F-40A0FFDA82FD}" id="{104C1DD6-1DFD-419A-BA37-0F4E0B3E7999}">
    <text>Vg=0.4V, Vd=0.6</text>
  </threadedComment>
  <threadedComment ref="P78" dT="2019-07-29T18:15:54.55" personId="{C73FEEBE-AC4E-4764-845F-40A0FFDA82FD}" id="{58BFBBE2-4FEE-4CD4-8C60-D507338B5357}">
    <text>Vg=0.4V, Vd=0.8V</text>
  </threadedComment>
  <threadedComment ref="P79" dT="2019-07-29T18:16:06.46" personId="{C73FEEBE-AC4E-4764-845F-40A0FFDA82FD}" id="{B389CEEF-3060-4A62-A026-21C2F3A075AE}">
    <text>Vg=0.3V, Vd=0.8V</text>
  </threadedComment>
  <threadedComment ref="P80" dT="2019-07-29T18:16:22.31" personId="{C73FEEBE-AC4E-4764-845F-40A0FFDA82FD}" id="{966E6BEB-0CF4-4984-AEE3-C2769B11052B}">
    <text>Vg=-0.2, Vd=0.6</text>
  </threadedComment>
  <threadedComment ref="P83" dT="2019-07-29T21:15:59.52" personId="{C73FEEBE-AC4E-4764-845F-40A0FFDA82FD}" id="{28DCF777-A709-4AC8-AFE7-B789DB2AE4FF}">
    <text>Vb1,2,3=0.7V, Vb4=0.9V</text>
  </threadedComment>
  <threadedComment ref="P85" dT="2019-07-29T21:25:38.49" personId="{C73FEEBE-AC4E-4764-845F-40A0FFDA82FD}" id="{5279201C-909B-48E9-A8A7-196EA9AA44B6}">
    <text>Vd1=0.4V, Vd1,2,3,4=0.7V</text>
  </threadedComment>
  <threadedComment ref="P86" dT="2019-07-29T22:19:39.09" personId="{C73FEEBE-AC4E-4764-845F-40A0FFDA82FD}" id="{4C659F67-7D6F-4FDB-802C-C6E2C924DA87}">
    <text>Vc1=0.85V, Vc2=0.85</text>
  </threadedComment>
  <threadedComment ref="P112" dT="2019-08-01T01:50:00.00" personId="{C73FEEBE-AC4E-4764-845F-40A0FFDA82FD}" id="{AE02E60C-8ECF-4754-B1C4-D8D263696698}">
    <text>Vd=0.9V, Vg=0.02V</text>
  </threadedComment>
</ThreadedComments>
</file>

<file path=xl/threadedComments/threadedComment4.xml><?xml version="1.0" encoding="utf-8"?>
<ThreadedComments xmlns="http://schemas.microsoft.com/office/spreadsheetml/2018/threadedcomments" xmlns:x="http://schemas.openxmlformats.org/spreadsheetml/2006/main">
  <threadedComment ref="E8" dT="2020-09-29T17:18:35.75" personId="{B8C698E4-DF80-4AAF-AD01-485BE48ACA5F}" id="{1C285BB5-8101-4822-8181-EA7D7D39F1E3}">
    <text>DHBT</text>
  </threadedComment>
  <threadedComment ref="M30" dT="2019-07-29T01:12:25.07" personId="{C73FEEBE-AC4E-4764-845F-40A0FFDA82FD}" id="{0739BA29-8C38-4115-B631-462BFDB718BC}">
    <text>Vd1=1.5V, Vd2,3=1.8V</text>
  </threadedComment>
</ThreadedComments>
</file>

<file path=xl/threadedComments/threadedComment5.xml><?xml version="1.0" encoding="utf-8"?>
<ThreadedComments xmlns="http://schemas.microsoft.com/office/spreadsheetml/2018/threadedcomments" xmlns:x="http://schemas.openxmlformats.org/spreadsheetml/2006/main">
  <threadedComment ref="L5" dT="2019-05-30T17:32:15.43" personId="{C73FEEBE-AC4E-4764-845F-40A0FFDA82FD}" id="{DB5565C4-966A-443D-ADC2-9E61F450C294}">
    <text>Gain can be controlled from 5dB to 20dB via dc bias current</text>
  </threadedComment>
  <threadedComment ref="L6" dT="2019-05-30T18:51:49.85" personId="{C73FEEBE-AC4E-4764-845F-40A0FFDA82FD}" id="{C1396F17-E7E7-438E-A24E-E15823318828}">
    <text>Controllable gain of about 10dB</text>
  </threadedComment>
  <threadedComment ref="M7" dT="2019-09-02T22:19:23.15" personId="{C73FEEBE-AC4E-4764-845F-40A0FFDA82FD}" id="{09DA7044-11FE-4BA6-9ADC-4C09116468E4}">
    <text>A 2.7 to 3.3V supply is used</text>
  </threadedComment>
  <threadedComment ref="M22" dT="2019-09-02T22:45:00.20" personId="{C73FEEBE-AC4E-4764-845F-40A0FFDA82FD}" id="{A5FDE70A-BF55-43C9-B461-00D422154B85}">
    <text>A 1.8V supply is also used</text>
  </threadedComment>
  <threadedComment ref="M24" dT="2019-09-02T22:47:58.01" personId="{C73FEEBE-AC4E-4764-845F-40A0FFDA82FD}" id="{C119DCC7-10EF-4008-84F6-103136769516}">
    <text>A 1.5V supply is also used</text>
  </threadedComment>
  <threadedComment ref="L56" dT="2019-06-18T19:05:51.45" personId="{C73FEEBE-AC4E-4764-845F-40A0FFDA82FD}" id="{4C561704-A3B1-4F18-BE43-A25BE43DF3EC}">
    <text>Has four gain modes of 15.5dB, 4dB, -5.7dB, -20dB</text>
  </threadedComment>
  <threadedComment ref="L57" dT="2019-06-19T17:49:17.46" personId="{C73FEEBE-AC4E-4764-845F-40A0FFDA82FD}" id="{0673AF55-0FE8-46C0-8F93-F5FC1A598AB2}">
    <text>VGLNA gain can vary from -42 to 9</text>
  </threadedComment>
  <threadedComment ref="L61" dT="2019-06-19T22:03:25.21" personId="{C73FEEBE-AC4E-4764-845F-40A0FFDA82FD}" id="{FC7A087B-A7EE-4B97-B45E-76B9E5350EDC}">
    <text>VGLNA has a gain range of 42.7</text>
  </threadedComment>
  <threadedComment ref="L64" dT="2019-06-24T18:47:05.19" personId="{C73FEEBE-AC4E-4764-845F-40A0FFDA82FD}" id="{F16C8E5D-7A00-4234-8D00-212880BD536E}">
    <text>This LNA has gain modes 24dB, 16dB, 7dB and -1dB</text>
  </threadedComment>
  <threadedComment ref="M108" dT="2020-01-23T22:53:38.20" personId="{2AF62947-26FC-42C7-8550-E3C78754F5EC}" id="{F84ED5DF-3632-4275-A3E2-4BC5B84D1F93}">
    <text>1.3V supply is also used</text>
  </threadedComment>
  <threadedComment ref="M110" dT="2019-09-03T00:52:45.10" personId="{C73FEEBE-AC4E-4764-845F-40A0FFDA82FD}" id="{47052D94-2A50-445F-87F3-954E287F4FF5}">
    <text>A 1.3V supply is also used</text>
  </threadedComment>
  <threadedComment ref="M153" dT="2019-07-29T02:40:50.82" personId="{C73FEEBE-AC4E-4764-845F-40A0FFDA82FD}" id="{5878A272-4571-4434-8B61-2EA90E9ACE97}">
    <text>Vd1=1.5V, Vd2=2.5V</text>
  </threadedComment>
  <threadedComment ref="M155" dT="2019-07-29T20:04:40.35" personId="{C73FEEBE-AC4E-4764-845F-40A0FFDA82FD}" id="{34FAB37B-5AB3-45B3-BAE5-89F5457DBCF2}">
    <text>also has a 1.5V output supply</text>
  </threadedComment>
  <threadedComment ref="L161" dT="2019-07-31T00:38:13.52" personId="{C73FEEBE-AC4E-4764-845F-40A0FFDA82FD}" id="{BA523641-351A-4CA3-AAAA-D962C530B25E}">
    <text>Gain is controllable from -18dB to 20dB</text>
  </threadedComment>
  <threadedComment ref="L165" dT="2019-07-31T17:40:07.01" personId="{C73FEEBE-AC4E-4764-845F-40A0FFDA82FD}" id="{7F37C3F8-5BC8-4D48-BCD9-75B5BD962BD7}">
    <text>Gain is variable from 9dB to 20dB</text>
  </threadedComment>
  <threadedComment ref="M166" dT="2019-07-31T22:05:54.96" personId="{C73FEEBE-AC4E-4764-845F-40A0FFDA82FD}" id="{F6AD45F7-F869-4936-8B1B-BD4A64EE6EC5}">
    <text>Vce1=3.3V, Vce2=1.5V</text>
  </threadedComment>
  <threadedComment ref="I175" dT="2019-08-02T18:19:21.70" personId="{C73FEEBE-AC4E-4764-845F-40A0FFDA82FD}" id="{E1FC1DA2-2699-4579-ADED-C4670ABBEBAD}">
    <text>Has 0.74dB at 78K</text>
  </threadedComment>
</ThreadedComments>
</file>

<file path=xl/threadedComments/threadedComment6.xml><?xml version="1.0" encoding="utf-8"?>
<ThreadedComments xmlns="http://schemas.microsoft.com/office/spreadsheetml/2018/threadedcomments" xmlns:x="http://schemas.openxmlformats.org/spreadsheetml/2006/main">
  <threadedComment ref="M30" dT="2019-07-26T17:41:03.35" personId="{C73FEEBE-AC4E-4764-845F-40A0FFDA82FD}" id="{59863978-FF0E-4557-A957-C901397EA2EF}">
    <text>Vgs=-1.6V, Vds=20V</text>
  </threadedComment>
  <threadedComment ref="M31" dT="2019-07-26T19:47:36.31" personId="{C73FEEBE-AC4E-4764-845F-40A0FFDA82FD}" id="{A43329E7-80F6-4E51-A9DE-9D9D28F73959}">
    <text>Vgs1=-3.3V, Vds1=5V, Vgs2=-3V, Vds2=10V</text>
  </threadedComment>
  <threadedComment ref="M48" dT="2019-07-30T18:08:24.82" personId="{C73FEEBE-AC4E-4764-845F-40A0FFDA82FD}" id="{E7A3DDC3-5204-431D-B3B8-84AF62C01D52}">
    <text>Vds=4V, Vgs=-3.5</text>
  </threadedComment>
  <threadedComment ref="M51" dT="2019-07-31T21:43:47.02" personId="{C73FEEBE-AC4E-4764-845F-40A0FFDA82FD}" id="{0A69163E-156A-42E0-9C25-CB97A3F6BF48}">
    <text>Vds=10V, Vgs=-2.9V</text>
  </threadedComment>
  <threadedComment ref="M52" dT="2019-08-01T01:38:49.21" personId="{C73FEEBE-AC4E-4764-845F-40A0FFDA82FD}" id="{E15C864F-1AE1-4F9C-89EF-588ABF7F6E8F}">
    <text>Vd=12V, Vgs=-3.5V</text>
  </threadedComment>
</ThreadedComments>
</file>

<file path=xl/threadedComments/threadedComment7.xml><?xml version="1.0" encoding="utf-8"?>
<ThreadedComments xmlns="http://schemas.microsoft.com/office/spreadsheetml/2018/threadedcomments" xmlns:x="http://schemas.openxmlformats.org/spreadsheetml/2006/main">
  <threadedComment ref="E4" dT="2019-05-30T18:30:09.54" personId="{C73FEEBE-AC4E-4764-845F-40A0FFDA82FD}" id="{3D4DADF3-73D2-4858-B10C-125BDA5F6B70}">
    <text>02/2005 CMOS
12/2006 CMOS
10/2010 CMOS
04/06/2013 CMOS (RFIC)
11/2011 CMOS (MWCL)</text>
  </threadedComment>
  <threadedComment ref="F6" dT="2019-05-31T17:28:57.07" personId="{C73FEEBE-AC4E-4764-845F-40A0FFDA82FD}" id="{0E9D8174-A49F-4D68-92DE-7D003C28BF23}">
    <text>12/2006 GaAs
12/2011 CMOS
01/2013 CMOS (bandwidth is replaced by frequency in Ghz)
10/2013 CMOS (Gain[linear] is the average of maximum and minimum gain(min gain is not recorder in database but is 13.5 and 10 for this paper))
02/2009: CMOS(JSSC)
03/2017: CMOS (JSSC)
11/2017: CMOS (JSSC)
11/06/2004: SiGe (IMS)
06/06/2014: InP (IMS)
06/06/2014: SiGe (IMS)
12/2007: CMOS (MWCL)
11/2009: CMOS (MWCL)
03/2014: CMOS (MWCL)
04/2017: SiGe (MWCL) *(F is replaced by Fave=1.584)</text>
  </threadedComment>
  <threadedComment ref="F9" dT="2019-06-03T18:11:47.93" personId="{C73FEEBE-AC4E-4764-845F-40A0FFDA82FD}" id="{DEB98C1B-4FAB-43E0-B617-D455DACDCFB9}">
    <text>11/2008 SiGe</text>
  </threadedComment>
  <threadedComment ref="F12" dT="2019-06-03T20:15:54.00" personId="{C73FEEBE-AC4E-4764-845F-40A0FFDA82FD}" id="{D637FCF8-E359-4AA3-A0C5-E08D0F2C1CB5}">
    <text>12/2009 CMOS
06/2013 CMOS
17/06/2008 CMOS: RFIC
04/06/2013 CMOS: RFIC
22/06/2012 CMOS: IMS
07/06/2013 CMOS: IMS
07/06/2013 CMOS: IMS
07/2010 CMOS: MWCL *(NF and Gain is replaced by NFaverage=2.9dB and Gain_ave=18.5dB)
12/2010 CMOS: MWCL
02/2011 CMOS: MWCL *(Gain and NF are replaced by gain_average=20dB and NFave=8.3dB)
11/2011 CMOS: MWCL
04/2012 CMOS: MWCL
05/2012 CMOS : MWCL *(NF is replaced by NFave=4.8dB)</text>
  </threadedComment>
  <threadedComment ref="J16" dT="2019-06-04T17:04:26.46" personId="{C73FEEBE-AC4E-4764-845F-40A0FFDA82FD}" id="{C6D6F02F-1FE9-48C5-8E7A-1794125D266D}">
    <text>07/2010 InP
FOM5: 09/2008 SiGe JSSC, 
gain=10^(gain(dB)/10)</text>
  </threadedComment>
  <threadedComment ref="G19" dT="2019-06-04T18:17:40.46" personId="{C73FEEBE-AC4E-4764-845F-40A0FFDA82FD}" id="{DCBEB131-1141-4754-8EB0-87AF459F2510}">
    <text>10/2010 CMOS</text>
  </threadedComment>
  <threadedComment ref="G22" dT="2019-06-04T21:52:38.49" personId="{C73FEEBE-AC4E-4764-845F-40A0FFDA82FD}" id="{92AC961D-DE10-4925-9BA7-D7B473C305CD}">
    <text>12/2011 CMOS
09/2012 CMOS (MWCL) *(fc is replaced by BW=8.5GHz) *(ESD=8kV)</text>
  </threadedComment>
  <threadedComment ref="G25" dT="2019-06-05T17:14:56.37" personId="{C73FEEBE-AC4E-4764-845F-40A0FFDA82FD}" id="{419D69F8-4834-4506-B72E-2DAAAFCBB649}">
    <text>12/2011 CMOS
10/06/2011 CMOS (IMS)
11/2016 CMOS (MWCL) *(BW=6Ghz is used from simulation, and not 4.1Ghz from measurement)</text>
  </threadedComment>
  <threadedComment ref="F28" dT="2019-05-23T21:21:39.11" personId="{C73FEEBE-AC4E-4764-845F-40A0FFDA82FD}" id="{8879640A-5EF5-4824-A7B5-C419A160C9D8}">
    <text>CMOS 08/2012
CMOS 03/2015</text>
  </threadedComment>
  <threadedComment ref="F31" dT="2019-06-05T22:00:13.97" personId="{C73FEEBE-AC4E-4764-845F-40A0FFDA82FD}" id="{506A2988-4D97-4F20-887E-C8BC4B7A52B7}">
    <text>01/2013 CMOS</text>
  </threadedComment>
  <threadedComment ref="K34" dT="2019-06-06T19:52:40.06" personId="{C73FEEBE-AC4E-4764-845F-40A0FFDA82FD}" id="{6710E29B-CFA4-4782-A2A4-70F30DCA112D}">
    <text>05/2013 CMOS
07/2005 CMOS: JSSC
FOM12,13: 08/06/2007 SiGe (IMS)
FOM12,13: 09/2006 SiGe(MWCL)
FOM13: 07/2007 CMOS (MWCL)
FOM12,13: 03/2009 CMOS(MWCL)
FOM13: 04/2012 CMOS (MWCL)</text>
  </threadedComment>
  <threadedComment ref="I36" dT="2019-06-06T20:17:56.34" personId="{C73FEEBE-AC4E-4764-845F-40A0FFDA82FD}" id="{EA24A462-1A94-4100-B916-E3BE66E52533}">
    <text>06/2013 CMOS</text>
  </threadedComment>
  <threadedComment ref="F40" dT="2019-05-23T21:20:38.30" personId="{C73FEEBE-AC4E-4764-845F-40A0FFDA82FD}" id="{A95319E5-70E5-4E07-85E4-9468590A1611}">
    <text>CMOS 06/2015 *(BW is in GHz)
06/06/2014: SiGe (IMS) 
06/06/2014: SiGe(IMS) *(BW is replaced by f=20Ghz) *(Gain(linear)=10^(Gain(dB)/10))
04/2006: CMOS (MWCL)
11/2016 CMOS (MWCL) *(Gain(linear)=10^(Gain(dB)/10)) *(BW is replaced by f=79.5Ghz)
07/2019 CMOS (MWCL)</text>
  </threadedComment>
  <threadedComment ref="K43" dT="2019-05-27T17:06:42.09" personId="{C73FEEBE-AC4E-4764-845F-40A0FFDA82FD}" id="{3DA8B784-315E-4AD0-B3F9-C9AC4FE3F221}">
    <text>06/2016 CMOS
Has two FOM's
FOM16: 11/2008: CMOS (JSSC)
FOM16: 03/2016: CMOS (JSSC)
FOM16: 08/2017: CMOS (JSSC)
FOM16: 15/02/2007: CMOS (ISSCC)
FOM16: 12/06/2018: CMOS (RFIC)
FOM16: 01/2017 CMOS (MWCL) *(S21av is replaced by Gain_voltage=9.66) *(Fav=2.187)</text>
  </threadedComment>
  <threadedComment ref="F46" dT="2019-05-27T17:32:28.67" personId="{C73FEEBE-AC4E-4764-845F-40A0FFDA82FD}" id="{1BD90F8D-C70F-453E-AE8A-37AB84421462}">
    <text>07/2016 CMOS</text>
  </threadedComment>
  <threadedComment ref="H49" dT="2019-05-29T17:13:05.68" personId="{C73FEEBE-AC4E-4764-845F-40A0FFDA82FD}" id="{B6B7E40B-225B-45B4-96ED-A4DEF4655093}">
    <text>02/2018 GaAs
11/2008 CMOS (JSSC)
09/06/2009 CMOS (RFIC)
19/06/2012 CMOS (RFIC)
01/2017 CMOS (MWCL) *(Gain is replaced by gain_ave=9.66) *(Fav=2.187)</text>
  </threadedComment>
  <threadedComment ref="H52" dT="2019-06-12T17:49:37.46" personId="{C73FEEBE-AC4E-4764-845F-40A0FFDA82FD}" id="{EADA8ED0-75CB-4F9D-BE61-B2C1C20E0C65}">
    <text>07/2001 CMOS: JSSC
FOM21: 22/06/2012 GaN: IMS
FOM21: 02/2008 (MWCL)</text>
  </threadedComment>
  <threadedComment ref="F55" dT="2019-06-19T21:05:08.73" personId="{C73FEEBE-AC4E-4764-845F-40A0FFDA82FD}" id="{8EE3503E-3E03-4547-8AB4-B14F7C4DBFA0}">
    <text>CMOS:05/2007  (JSSC)</text>
  </threadedComment>
  <threadedComment ref="G57" dT="2019-06-21T21:23:02.63" personId="{C73FEEBE-AC4E-4764-845F-40A0FFDA82FD}" id="{71EEADFD-24AF-4440-A28D-A24533034B42}">
    <text>02/2009 CMOS (JSSC)
10/02/2005: CMOS (ISSCC)
07/06/2011: CMOS (RFIC)
20/06/2008: SiGe (IMS) *(Gain=10^(gain(dB)/10)) *(BW[Ghz] is replaced by f=91Ghz)
27/05/2016: CMOS (IMS) *(BW[Ghz] is replaced by fc=5.9Ghz)
05/2009: CMOS (MWCL) *(Gain(linear)=10^(Gain(dB)/10)) *(F and IIP3 are average values and are equal to 2.754 and 0.562mW)
05/2009: CMOS (MWCL)
09/2010: CMOS (MWCL) *(BW is replaced by f=2Ghz)
04/2012 CMOS (MWCL) *(BW is replaced by fpeak=57.3Ghz) *(Gain=10^(gain(dB)/10))
04/2012 CMOS (MWCL) *(BW is replaced by f=5Ghz)
09/2012 CMOS (MWCL)
05/2014 CMOS (MWCL) *(BW is replaced by f=2.4Ghz)
09/2014 CMOS (MWCL)
12/2015 CMOS (MWCL)</text>
  </threadedComment>
  <threadedComment ref="N61" dT="2019-06-23T21:03:52.31" personId="{C73FEEBE-AC4E-4764-845F-40A0FFDA82FD}" id="{53A686EB-1805-4C6B-84FB-AD47D0AA6DC0}">
    <text>11/2009 CMOS: JSSC</text>
  </threadedComment>
  <threadedComment ref="I63" dT="2019-06-23T21:28:53.67" personId="{C73FEEBE-AC4E-4764-845F-40A0FFDA82FD}" id="{9A012D8D-A594-4331-B11E-FABA7A0FFEEC}">
    <text>02/2010 CMOS: JSSC</text>
  </threadedComment>
  <threadedComment ref="H67" dT="2019-06-24T19:59:44.10" personId="{C73FEEBE-AC4E-4764-845F-40A0FFDA82FD}" id="{001BED46-A8A1-4479-811C-FC58C1A0FA0F}">
    <text>05/2012 CMOS: JSSC
02/207 CMOS: MWCL</text>
  </threadedComment>
  <threadedComment ref="G70" dT="2019-06-26T19:19:45.63" personId="{C73FEEBE-AC4E-4764-845F-40A0FFDA82FD}" id="{6F42D00C-3B2F-4469-AE03-DBBEDFB6C309}">
    <text>05/2018: CMOS (JSSC)
06/06/2017: CMOS (RFIC)</text>
  </threadedComment>
  <threadedComment ref="F72" dT="2019-07-04T22:27:48.92" personId="{C73FEEBE-AC4E-4764-845F-40A0FFDA82FD}" id="{F1F86DA5-3439-43D8-BEA8-289B4296F0EE}">
    <text>25/05/2010 CMOS (RFIC)</text>
  </threadedComment>
  <threadedComment ref="J75" dT="2019-07-16T17:12:14.53" personId="{C73FEEBE-AC4E-4764-845F-40A0FFDA82FD}" id="{C80F0A9D-4DDA-4075-A444-083E0C6F7B83}">
    <text>07/06/2011 CMOS (RFIC)</text>
  </threadedComment>
  <threadedComment ref="F78" dT="2019-07-16T20:47:35.81" personId="{C73FEEBE-AC4E-4764-845F-40A0FFDA82FD}" id="{677762CB-4C1C-46C1-94B3-2CD27C0C4084}">
    <text>04/06/2013 CMOS (RFIC)</text>
  </threadedComment>
  <threadedComment ref="F81" dT="2019-07-23T18:59:35.15" personId="{C73FEEBE-AC4E-4764-845F-40A0FFDA82FD}" id="{3C88DEA9-A235-426A-8337-32E7F6FEDEB5}">
    <text>16/06/2006 InP (IMS)  *(f0=60Ghz) *(FOM value of paper does not match my calculated value) *</text>
  </threadedComment>
  <threadedComment ref="E84" dT="2019-07-24T20:47:41.69" personId="{C73FEEBE-AC4E-4764-845F-40A0FFDA82FD}" id="{D1FB886A-4098-4075-9C1B-D5EBB28C35D2}">
    <text>12/06/2009 SiGe (IMS)</text>
  </threadedComment>
  <threadedComment ref="G86" dT="2019-07-25T17:26:49.10" personId="{C73FEEBE-AC4E-4764-845F-40A0FFDA82FD}" id="{808C9C73-A191-4324-97A7-66D20727FD18}">
    <text>28/05/2010 CMOS (IMS) *(ft=97.1Ghz)
10/2004: SiGe (MWCL) *(ft=65Ghz)</text>
  </threadedComment>
  <threadedComment ref="F89" dT="2019-07-29T01:57:34.73" personId="{C73FEEBE-AC4E-4764-845F-40A0FFDA82FD}" id="{79933ECA-8B53-4E33-9F96-77EDB82D7CE2}">
    <text>27/05/2016: CMOS (IMS)</text>
  </threadedComment>
  <threadedComment ref="F91" dT="2019-07-31T02:07:10.54" personId="{C73FEEBE-AC4E-4764-845F-40A0FFDA82FD}" id="{3B5D6619-9D5C-4302-8FFE-42B44D2FA988}">
    <text>03/2007 CMOS (MWCL) *(F is replaced by Fmean=10^(4.65/10)</text>
  </threadedComment>
  <threadedComment ref="G94" dT="2019-08-02T20:16:34.86" personId="{C73FEEBE-AC4E-4764-845F-40A0FFDA82FD}" id="{33D008D4-FBDB-4357-9131-8579D0B6E913}">
    <text>05/2019 SiGe (MWCL)</text>
  </threadedComment>
  <threadedComment ref="F97" dT="2019-08-02T20:29:11.12" personId="{C73FEEBE-AC4E-4764-845F-40A0FFDA82FD}" id="{30A42C42-486A-4AA9-BDAC-D380C71263EB}">
    <text>05/2019 GaAs (MWCLA)</text>
  </threadedComment>
</ThreadedComments>
</file>

<file path=xl/worksheets/_rels/sheet1.xml.rels><?xml version="1.0" encoding="UTF-8" standalone="yes"?>
<Relationships xmlns="http://schemas.openxmlformats.org/package/2006/relationships"><Relationship Id="rId2" Type="http://schemas.openxmlformats.org/officeDocument/2006/relationships/hyperlink" Target="https://ieeexplore.ieee.org/document/9540773" TargetMode="External"/><Relationship Id="rId1" Type="http://schemas.openxmlformats.org/officeDocument/2006/relationships/hyperlink" Target="https://ieeexplore.ieee.org/document/9123623"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 Id="rId4" Type="http://schemas.microsoft.com/office/2017/10/relationships/threadedComment" Target="../threadedComments/threadedComment7.xml"/></Relationships>
</file>

<file path=xl/worksheets/_rels/sheet2.xml.rels><?xml version="1.0" encoding="UTF-8" standalone="yes"?>
<Relationships xmlns="http://schemas.openxmlformats.org/package/2006/relationships"><Relationship Id="rId26" Type="http://schemas.openxmlformats.org/officeDocument/2006/relationships/hyperlink" Target="https://ieeexplore.ieee.org/document/9097831" TargetMode="External"/><Relationship Id="rId117" Type="http://schemas.microsoft.com/office/2017/10/relationships/threadedComment" Target="../threadedComments/threadedComment1.xml"/><Relationship Id="rId21" Type="http://schemas.openxmlformats.org/officeDocument/2006/relationships/hyperlink" Target="https://ieeexplore.ieee.org/document/9063008" TargetMode="External"/><Relationship Id="rId42" Type="http://schemas.openxmlformats.org/officeDocument/2006/relationships/hyperlink" Target="https://ieeexplore.ieee.org/document/9296234" TargetMode="External"/><Relationship Id="rId47" Type="http://schemas.openxmlformats.org/officeDocument/2006/relationships/hyperlink" Target="https://ieeexplore.ieee.org/document/9387614" TargetMode="External"/><Relationship Id="rId63" Type="http://schemas.openxmlformats.org/officeDocument/2006/relationships/hyperlink" Target="https://ieeexplore.ieee.org/document/9574991" TargetMode="External"/><Relationship Id="rId68" Type="http://schemas.openxmlformats.org/officeDocument/2006/relationships/hyperlink" Target="https://ieeexplore.ieee.org/document/9694459" TargetMode="External"/><Relationship Id="rId84" Type="http://schemas.openxmlformats.org/officeDocument/2006/relationships/hyperlink" Target="https://ieeexplore.ieee.org/document/9865626" TargetMode="External"/><Relationship Id="rId89" Type="http://schemas.openxmlformats.org/officeDocument/2006/relationships/hyperlink" Target="https://ieeexplore.ieee.org/document/9749926" TargetMode="External"/><Relationship Id="rId112" Type="http://schemas.openxmlformats.org/officeDocument/2006/relationships/hyperlink" Target="https://ieeexplore.ieee.org/document/10309293" TargetMode="External"/><Relationship Id="rId16" Type="http://schemas.openxmlformats.org/officeDocument/2006/relationships/hyperlink" Target="https://ieeexplore.ieee.org/document/9165967" TargetMode="External"/><Relationship Id="rId107" Type="http://schemas.openxmlformats.org/officeDocument/2006/relationships/hyperlink" Target="https://ieeexplore.ieee.org/document/10216920" TargetMode="External"/><Relationship Id="rId11" Type="http://schemas.openxmlformats.org/officeDocument/2006/relationships/hyperlink" Target="https://ieeexplore.ieee.org/stamp/stamp.jsp?tp=&amp;arnumber=6487670" TargetMode="External"/><Relationship Id="rId32" Type="http://schemas.openxmlformats.org/officeDocument/2006/relationships/hyperlink" Target="https://ieeexplore.ieee.org/document/9218307" TargetMode="External"/><Relationship Id="rId37" Type="http://schemas.openxmlformats.org/officeDocument/2006/relationships/hyperlink" Target="https://ieeexplore.ieee.org/document/9224000" TargetMode="External"/><Relationship Id="rId53" Type="http://schemas.openxmlformats.org/officeDocument/2006/relationships/hyperlink" Target="https://ieeexplore.ieee.org/document/9512554" TargetMode="External"/><Relationship Id="rId58" Type="http://schemas.openxmlformats.org/officeDocument/2006/relationships/hyperlink" Target="https://ieeexplore.ieee.org/document/9490679" TargetMode="External"/><Relationship Id="rId74" Type="http://schemas.openxmlformats.org/officeDocument/2006/relationships/hyperlink" Target="https://ieeexplore.ieee.org/document/9664433" TargetMode="External"/><Relationship Id="rId79" Type="http://schemas.openxmlformats.org/officeDocument/2006/relationships/hyperlink" Target="https://ieeexplore.ieee.org/document/9862955" TargetMode="External"/><Relationship Id="rId102" Type="http://schemas.openxmlformats.org/officeDocument/2006/relationships/hyperlink" Target="https://ieeexplore.ieee.org/document/10113161" TargetMode="External"/><Relationship Id="rId5" Type="http://schemas.openxmlformats.org/officeDocument/2006/relationships/hyperlink" Target="https://ieeexplore.ieee.org/stamp/stamp.jsp?tp=&amp;arnumber=1406273&amp;tag=1" TargetMode="External"/><Relationship Id="rId90" Type="http://schemas.openxmlformats.org/officeDocument/2006/relationships/hyperlink" Target="https://ieeexplore.ieee.org/document/9765990" TargetMode="External"/><Relationship Id="rId95" Type="http://schemas.openxmlformats.org/officeDocument/2006/relationships/hyperlink" Target="https://ieeexplore.ieee.org/document/9873900" TargetMode="External"/><Relationship Id="rId22" Type="http://schemas.openxmlformats.org/officeDocument/2006/relationships/hyperlink" Target="https://ieeexplore.ieee.org/document/8701753" TargetMode="External"/><Relationship Id="rId27" Type="http://schemas.openxmlformats.org/officeDocument/2006/relationships/hyperlink" Target="https://ieeexplore-ieee-org/stamp/stamp.jsp?tp=&amp;arnumber=9216534" TargetMode="External"/><Relationship Id="rId43" Type="http://schemas.openxmlformats.org/officeDocument/2006/relationships/hyperlink" Target="https://ieeexplore.ieee.org/document/9280365" TargetMode="External"/><Relationship Id="rId48" Type="http://schemas.openxmlformats.org/officeDocument/2006/relationships/hyperlink" Target="https://ieeexplore.ieee.org/document/9354610" TargetMode="External"/><Relationship Id="rId64" Type="http://schemas.openxmlformats.org/officeDocument/2006/relationships/hyperlink" Target="https://ieeexplore.ieee.org/document/9574964" TargetMode="External"/><Relationship Id="rId69" Type="http://schemas.openxmlformats.org/officeDocument/2006/relationships/hyperlink" Target="https://ieeexplore.ieee.org/document/9678366" TargetMode="External"/><Relationship Id="rId113" Type="http://schemas.openxmlformats.org/officeDocument/2006/relationships/hyperlink" Target="https://ieeexplore.ieee.org/document/11082870" TargetMode="External"/><Relationship Id="rId80" Type="http://schemas.openxmlformats.org/officeDocument/2006/relationships/hyperlink" Target="https://ieeexplore.ieee.org/document/9863196" TargetMode="External"/><Relationship Id="rId85" Type="http://schemas.openxmlformats.org/officeDocument/2006/relationships/hyperlink" Target="https://ieeexplore.ieee.org/document/9865340" TargetMode="External"/><Relationship Id="rId12" Type="http://schemas.openxmlformats.org/officeDocument/2006/relationships/hyperlink" Target="https://ieeexplore.ieee.org/document/9062597" TargetMode="External"/><Relationship Id="rId17" Type="http://schemas.openxmlformats.org/officeDocument/2006/relationships/hyperlink" Target="https://ieeexplore.ieee.org/document/8976309" TargetMode="External"/><Relationship Id="rId33" Type="http://schemas.openxmlformats.org/officeDocument/2006/relationships/hyperlink" Target="https://ieeexplore.ieee.org/document/9224114" TargetMode="External"/><Relationship Id="rId38" Type="http://schemas.openxmlformats.org/officeDocument/2006/relationships/hyperlink" Target="https://ieeexplore.ieee.org/document/9082675" TargetMode="External"/><Relationship Id="rId59" Type="http://schemas.openxmlformats.org/officeDocument/2006/relationships/hyperlink" Target="https://ieeexplore.ieee.org/document/9598862" TargetMode="External"/><Relationship Id="rId103" Type="http://schemas.openxmlformats.org/officeDocument/2006/relationships/hyperlink" Target="https://ieeexplore.ieee.org/document/10114806" TargetMode="External"/><Relationship Id="rId108" Type="http://schemas.openxmlformats.org/officeDocument/2006/relationships/hyperlink" Target="https://ieeexplore.ieee.org/document/10406208" TargetMode="External"/><Relationship Id="rId54" Type="http://schemas.openxmlformats.org/officeDocument/2006/relationships/hyperlink" Target="https://ieeexplore.ieee.org/document/9490470" TargetMode="External"/><Relationship Id="rId70" Type="http://schemas.openxmlformats.org/officeDocument/2006/relationships/hyperlink" Target="https://ieeexplore.ieee.org/document/9716777" TargetMode="External"/><Relationship Id="rId75" Type="http://schemas.openxmlformats.org/officeDocument/2006/relationships/hyperlink" Target="https://ieeexplore.ieee.org/document/9960851" TargetMode="External"/><Relationship Id="rId91" Type="http://schemas.openxmlformats.org/officeDocument/2006/relationships/hyperlink" Target="https://ieeexplore.ieee.org/document/9737286" TargetMode="External"/><Relationship Id="rId96" Type="http://schemas.openxmlformats.org/officeDocument/2006/relationships/hyperlink" Target="https://ieeexplore.ieee.org/document/9945636" TargetMode="External"/><Relationship Id="rId1" Type="http://schemas.openxmlformats.org/officeDocument/2006/relationships/hyperlink" Target="https://ieeexplore-ieee-org.ezproxy.lib.ucalgary.ca/stamp/stamp.jsp?tp=&amp;arnumber=1420746" TargetMode="External"/><Relationship Id="rId6" Type="http://schemas.openxmlformats.org/officeDocument/2006/relationships/hyperlink" Target="https://ieeexplore-ieee-org.ezproxy.lib.ucalgary.ca/stamp/stamp.jsp?tp=&amp;arnumber=1393200&amp;tag=1" TargetMode="External"/><Relationship Id="rId23" Type="http://schemas.openxmlformats.org/officeDocument/2006/relationships/hyperlink" Target="https://ieeexplore.ieee.org/document/8701831" TargetMode="External"/><Relationship Id="rId28" Type="http://schemas.openxmlformats.org/officeDocument/2006/relationships/hyperlink" Target="https://ieeexplore-ieee-org/stamp/stamp.jsp?tp=&amp;arnumber=9218400" TargetMode="External"/><Relationship Id="rId49" Type="http://schemas.openxmlformats.org/officeDocument/2006/relationships/hyperlink" Target="https://ieeexplore.ieee.org/document/9411814" TargetMode="External"/><Relationship Id="rId114" Type="http://schemas.openxmlformats.org/officeDocument/2006/relationships/printerSettings" Target="../printerSettings/printerSettings1.bin"/><Relationship Id="rId10" Type="http://schemas.openxmlformats.org/officeDocument/2006/relationships/hyperlink" Target="https://ieeexplore.ieee.org/stamp/stamp.jsp?tp=&amp;arnumber=8428986" TargetMode="External"/><Relationship Id="rId31" Type="http://schemas.openxmlformats.org/officeDocument/2006/relationships/hyperlink" Target="https://ieeexplore.ieee.org/document/9218439" TargetMode="External"/><Relationship Id="rId44" Type="http://schemas.openxmlformats.org/officeDocument/2006/relationships/hyperlink" Target="https://ieeexplore.ieee.org/document/9346032" TargetMode="External"/><Relationship Id="rId52" Type="http://schemas.openxmlformats.org/officeDocument/2006/relationships/hyperlink" Target="https://ieeexplore.ieee.org/document/9494101" TargetMode="External"/><Relationship Id="rId60" Type="http://schemas.openxmlformats.org/officeDocument/2006/relationships/hyperlink" Target="https://ieeexplore.ieee.org/document/9623367" TargetMode="External"/><Relationship Id="rId65" Type="http://schemas.openxmlformats.org/officeDocument/2006/relationships/hyperlink" Target="https://ieeexplore.ieee.org/document/9552451" TargetMode="External"/><Relationship Id="rId73" Type="http://schemas.openxmlformats.org/officeDocument/2006/relationships/hyperlink" Target="https://ieeexplore.ieee.org/document/9609967" TargetMode="External"/><Relationship Id="rId78" Type="http://schemas.openxmlformats.org/officeDocument/2006/relationships/hyperlink" Target="https://ieeexplore.ieee.org/document/9863213" TargetMode="External"/><Relationship Id="rId81" Type="http://schemas.openxmlformats.org/officeDocument/2006/relationships/hyperlink" Target="https://ieeexplore.ieee.org/document/9863182" TargetMode="External"/><Relationship Id="rId86" Type="http://schemas.openxmlformats.org/officeDocument/2006/relationships/hyperlink" Target="https://ieeexplore.ieee.org/document/9865523" TargetMode="External"/><Relationship Id="rId94" Type="http://schemas.openxmlformats.org/officeDocument/2006/relationships/hyperlink" Target="https://ieeexplore.ieee.org/document/9834266" TargetMode="External"/><Relationship Id="rId99" Type="http://schemas.openxmlformats.org/officeDocument/2006/relationships/hyperlink" Target="https://ieeexplore.ieee.org/document/10004886" TargetMode="External"/><Relationship Id="rId101" Type="http://schemas.openxmlformats.org/officeDocument/2006/relationships/hyperlink" Target="https://ieeexplore.ieee.org/document/10054134" TargetMode="External"/><Relationship Id="rId4" Type="http://schemas.openxmlformats.org/officeDocument/2006/relationships/hyperlink" Target="https://ieeexplore.ieee.org/stamp/stamp.jsp?tp=&amp;arnumber=1420761" TargetMode="External"/><Relationship Id="rId9" Type="http://schemas.openxmlformats.org/officeDocument/2006/relationships/hyperlink" Target="https://ieeexplore.ieee.org/stamp/stamp.jsp?tp=&amp;arnumber=1004580" TargetMode="External"/><Relationship Id="rId13" Type="http://schemas.openxmlformats.org/officeDocument/2006/relationships/hyperlink" Target="https://ieeexplore.ieee.org/document/9076287" TargetMode="External"/><Relationship Id="rId18" Type="http://schemas.openxmlformats.org/officeDocument/2006/relationships/hyperlink" Target="https://ieeexplore.ieee.org/document/9096537" TargetMode="External"/><Relationship Id="rId39" Type="http://schemas.openxmlformats.org/officeDocument/2006/relationships/hyperlink" Target="https://ieeexplore.ieee.org/document/9264693" TargetMode="External"/><Relationship Id="rId109" Type="http://schemas.openxmlformats.org/officeDocument/2006/relationships/hyperlink" Target="https://ieeexplore.ieee.org/document/10286262" TargetMode="External"/><Relationship Id="rId34" Type="http://schemas.openxmlformats.org/officeDocument/2006/relationships/hyperlink" Target="https://ieeexplore.ieee.org/document/9223868" TargetMode="External"/><Relationship Id="rId50" Type="http://schemas.openxmlformats.org/officeDocument/2006/relationships/hyperlink" Target="https://ieeexplore.ieee.org/document/9424214" TargetMode="External"/><Relationship Id="rId55" Type="http://schemas.openxmlformats.org/officeDocument/2006/relationships/hyperlink" Target="https://ieeexplore.ieee.org/document/9490455" TargetMode="External"/><Relationship Id="rId76" Type="http://schemas.openxmlformats.org/officeDocument/2006/relationships/hyperlink" Target="https://ieeexplore.ieee.org/document/9731719" TargetMode="External"/><Relationship Id="rId97" Type="http://schemas.openxmlformats.org/officeDocument/2006/relationships/hyperlink" Target="https://ieeexplore.ieee.org/document/10067549" TargetMode="External"/><Relationship Id="rId104" Type="http://schemas.openxmlformats.org/officeDocument/2006/relationships/hyperlink" Target="https://ieeexplore.ieee.org/document/10136189" TargetMode="External"/><Relationship Id="rId7" Type="http://schemas.openxmlformats.org/officeDocument/2006/relationships/hyperlink" Target="https://ieeexplore.ieee.org/stamp/stamp.jsp?tp=&amp;arnumber=7331676" TargetMode="External"/><Relationship Id="rId71" Type="http://schemas.openxmlformats.org/officeDocument/2006/relationships/hyperlink" Target="https://ieeexplore.ieee.org/document/9875370" TargetMode="External"/><Relationship Id="rId92" Type="http://schemas.openxmlformats.org/officeDocument/2006/relationships/hyperlink" Target="https://ieeexplore.ieee.org/document/9769764" TargetMode="External"/><Relationship Id="rId2" Type="http://schemas.openxmlformats.org/officeDocument/2006/relationships/hyperlink" Target="https://ieeexplore.ieee.org/stamp/stamp.jsp?tp=&amp;arnumber=1589481" TargetMode="External"/><Relationship Id="rId29" Type="http://schemas.openxmlformats.org/officeDocument/2006/relationships/hyperlink" Target="https://ieeexplore-ieee-org/document/9218421" TargetMode="External"/><Relationship Id="rId24" Type="http://schemas.openxmlformats.org/officeDocument/2006/relationships/hyperlink" Target="https://ieeexplore.ieee.org/document/8701739" TargetMode="External"/><Relationship Id="rId40" Type="http://schemas.openxmlformats.org/officeDocument/2006/relationships/hyperlink" Target="https://ieeexplore.ieee.org/document/9272369" TargetMode="External"/><Relationship Id="rId45" Type="http://schemas.openxmlformats.org/officeDocument/2006/relationships/hyperlink" Target="https://ieeexplore.ieee.org/document/9363237" TargetMode="External"/><Relationship Id="rId66" Type="http://schemas.openxmlformats.org/officeDocument/2006/relationships/hyperlink" Target="https://ieeexplore.ieee.org/document/9597551" TargetMode="External"/><Relationship Id="rId87" Type="http://schemas.openxmlformats.org/officeDocument/2006/relationships/hyperlink" Target="https://ieeexplore.ieee.org/document/9753683" TargetMode="External"/><Relationship Id="rId110" Type="http://schemas.openxmlformats.org/officeDocument/2006/relationships/hyperlink" Target="https://ieeexplore.ieee.org/document/10416887" TargetMode="External"/><Relationship Id="rId115" Type="http://schemas.openxmlformats.org/officeDocument/2006/relationships/vmlDrawing" Target="../drawings/vmlDrawing1.vml"/><Relationship Id="rId61" Type="http://schemas.openxmlformats.org/officeDocument/2006/relationships/hyperlink" Target="https://ieeexplore.ieee.org/document/9574916" TargetMode="External"/><Relationship Id="rId82" Type="http://schemas.openxmlformats.org/officeDocument/2006/relationships/hyperlink" Target="https://ieeexplore.ieee.org/document/9863114" TargetMode="External"/><Relationship Id="rId19" Type="http://schemas.openxmlformats.org/officeDocument/2006/relationships/hyperlink" Target="https://ieeexplore.ieee.org/document/9104926" TargetMode="External"/><Relationship Id="rId14" Type="http://schemas.openxmlformats.org/officeDocument/2006/relationships/hyperlink" Target="https://ieeexplore.ieee.org/document/9109570" TargetMode="External"/><Relationship Id="rId30" Type="http://schemas.openxmlformats.org/officeDocument/2006/relationships/hyperlink" Target="https://ieeexplore-ieee-org/document/9218375" TargetMode="External"/><Relationship Id="rId35" Type="http://schemas.openxmlformats.org/officeDocument/2006/relationships/hyperlink" Target="https://ieeexplore.ieee.org/document/9224097" TargetMode="External"/><Relationship Id="rId56" Type="http://schemas.openxmlformats.org/officeDocument/2006/relationships/hyperlink" Target="https://ieeexplore.ieee.org/document/9490469" TargetMode="External"/><Relationship Id="rId77" Type="http://schemas.openxmlformats.org/officeDocument/2006/relationships/hyperlink" Target="https://ieeexplore.ieee.org/document/9731651" TargetMode="External"/><Relationship Id="rId100" Type="http://schemas.openxmlformats.org/officeDocument/2006/relationships/hyperlink" Target="https://ieeexplore.ieee.org/document/10004858" TargetMode="External"/><Relationship Id="rId105" Type="http://schemas.openxmlformats.org/officeDocument/2006/relationships/hyperlink" Target="https://ieeexplore.ieee.org/document/10155316" TargetMode="External"/><Relationship Id="rId8" Type="http://schemas.openxmlformats.org/officeDocument/2006/relationships/hyperlink" Target="https://ieeexplore.ieee.org/stamp/stamp.jsp?tp=&amp;arnumber=7725501" TargetMode="External"/><Relationship Id="rId51" Type="http://schemas.openxmlformats.org/officeDocument/2006/relationships/hyperlink" Target="https://ieeexplore.ieee.org/document/9422913" TargetMode="External"/><Relationship Id="rId72" Type="http://schemas.openxmlformats.org/officeDocument/2006/relationships/hyperlink" Target="https://ieeexplore.ieee.org/document/9745993" TargetMode="External"/><Relationship Id="rId93" Type="http://schemas.openxmlformats.org/officeDocument/2006/relationships/hyperlink" Target="https://ieeexplore.ieee.org/document/9764882" TargetMode="External"/><Relationship Id="rId98" Type="http://schemas.openxmlformats.org/officeDocument/2006/relationships/hyperlink" Target="https://ieeexplore.ieee.org/document/10004879" TargetMode="External"/><Relationship Id="rId3" Type="http://schemas.openxmlformats.org/officeDocument/2006/relationships/hyperlink" Target="https://ieeexplore.ieee.org/stamp/stamp.jsp?tp=&amp;arnumber=1573795&amp;tag=1" TargetMode="External"/><Relationship Id="rId25" Type="http://schemas.openxmlformats.org/officeDocument/2006/relationships/hyperlink" Target="https://ieeexplore.ieee.org/document/8701782" TargetMode="External"/><Relationship Id="rId46" Type="http://schemas.openxmlformats.org/officeDocument/2006/relationships/hyperlink" Target="https://ieeexplore.ieee.org/document/9377636" TargetMode="External"/><Relationship Id="rId67" Type="http://schemas.openxmlformats.org/officeDocument/2006/relationships/hyperlink" Target="https://ieeexplore.ieee.org/document/9678957" TargetMode="External"/><Relationship Id="rId116" Type="http://schemas.openxmlformats.org/officeDocument/2006/relationships/comments" Target="../comments1.xml"/><Relationship Id="rId20" Type="http://schemas.openxmlformats.org/officeDocument/2006/relationships/hyperlink" Target="https://ieeexplore.ieee.org/document/9186793" TargetMode="External"/><Relationship Id="rId41" Type="http://schemas.openxmlformats.org/officeDocument/2006/relationships/hyperlink" Target="https://ieeexplore.ieee.org/document/9280365" TargetMode="External"/><Relationship Id="rId62" Type="http://schemas.openxmlformats.org/officeDocument/2006/relationships/hyperlink" Target="https://ieeexplore.ieee.org/document/9574824" TargetMode="External"/><Relationship Id="rId83" Type="http://schemas.openxmlformats.org/officeDocument/2006/relationships/hyperlink" Target="https://ieeexplore.ieee.org/document/9863096" TargetMode="External"/><Relationship Id="rId88" Type="http://schemas.openxmlformats.org/officeDocument/2006/relationships/hyperlink" Target="https://ieeexplore.ieee.org/document/9745748" TargetMode="External"/><Relationship Id="rId111" Type="http://schemas.openxmlformats.org/officeDocument/2006/relationships/hyperlink" Target="https://ieeexplore.ieee.org/document/10287151" TargetMode="External"/><Relationship Id="rId15" Type="http://schemas.openxmlformats.org/officeDocument/2006/relationships/hyperlink" Target="https://ieeexplore.ieee.org/document/9133321" TargetMode="External"/><Relationship Id="rId36" Type="http://schemas.openxmlformats.org/officeDocument/2006/relationships/hyperlink" Target="https://ieeexplore.ieee.org/document/9223850" TargetMode="External"/><Relationship Id="rId57" Type="http://schemas.openxmlformats.org/officeDocument/2006/relationships/hyperlink" Target="https://ieeexplore.ieee.org/document/9466114" TargetMode="External"/><Relationship Id="rId106" Type="http://schemas.openxmlformats.org/officeDocument/2006/relationships/hyperlink" Target="https://ieeexplore.ieee.org/document/10171399"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ieeexplore.ieee.org/document/9397304" TargetMode="External"/><Relationship Id="rId13" Type="http://schemas.openxmlformats.org/officeDocument/2006/relationships/hyperlink" Target="https://ieeexplore.ieee.org/document/9976265" TargetMode="External"/><Relationship Id="rId18" Type="http://schemas.openxmlformats.org/officeDocument/2006/relationships/printerSettings" Target="../printerSettings/printerSettings2.bin"/><Relationship Id="rId3" Type="http://schemas.openxmlformats.org/officeDocument/2006/relationships/hyperlink" Target="https://ieeexplore.ieee.org/document/9210826" TargetMode="External"/><Relationship Id="rId21" Type="http://schemas.microsoft.com/office/2017/10/relationships/threadedComment" Target="../threadedComments/threadedComment2.xml"/><Relationship Id="rId7" Type="http://schemas.openxmlformats.org/officeDocument/2006/relationships/hyperlink" Target="https://ieeexplore.ieee.org/document/9354834" TargetMode="External"/><Relationship Id="rId12" Type="http://schemas.openxmlformats.org/officeDocument/2006/relationships/hyperlink" Target="https://ieeexplore.ieee.org/document/9844260" TargetMode="External"/><Relationship Id="rId17" Type="http://schemas.openxmlformats.org/officeDocument/2006/relationships/hyperlink" Target="https://ieeexplore.ieee.org/document/11230823" TargetMode="External"/><Relationship Id="rId2" Type="http://schemas.openxmlformats.org/officeDocument/2006/relationships/hyperlink" Target="https://ieeexplore.ieee.org/document/9075977" TargetMode="External"/><Relationship Id="rId16" Type="http://schemas.openxmlformats.org/officeDocument/2006/relationships/hyperlink" Target="https://ieeexplore.ieee.org/document/10505304" TargetMode="External"/><Relationship Id="rId20" Type="http://schemas.openxmlformats.org/officeDocument/2006/relationships/comments" Target="../comments2.xml"/><Relationship Id="rId1" Type="http://schemas.openxmlformats.org/officeDocument/2006/relationships/hyperlink" Target="https://ieeexplore-ieee-org/document/9218343" TargetMode="External"/><Relationship Id="rId6" Type="http://schemas.openxmlformats.org/officeDocument/2006/relationships/hyperlink" Target="https://ieeexplore.ieee.org/document/9257595" TargetMode="External"/><Relationship Id="rId11" Type="http://schemas.openxmlformats.org/officeDocument/2006/relationships/hyperlink" Target="https://ieeexplore.ieee.org/document/9613735" TargetMode="External"/><Relationship Id="rId5" Type="http://schemas.openxmlformats.org/officeDocument/2006/relationships/hyperlink" Target="https://ieeexplore.ieee.org/document/9340337" TargetMode="External"/><Relationship Id="rId15" Type="http://schemas.openxmlformats.org/officeDocument/2006/relationships/hyperlink" Target="https://ieeexplore.ieee.org/document/10130008" TargetMode="External"/><Relationship Id="rId10" Type="http://schemas.openxmlformats.org/officeDocument/2006/relationships/hyperlink" Target="https://ieeexplore.ieee.org/document/9756842" TargetMode="External"/><Relationship Id="rId19" Type="http://schemas.openxmlformats.org/officeDocument/2006/relationships/vmlDrawing" Target="../drawings/vmlDrawing2.vml"/><Relationship Id="rId4" Type="http://schemas.openxmlformats.org/officeDocument/2006/relationships/hyperlink" Target="https://ieeexplore.ieee.org/document/9214520" TargetMode="External"/><Relationship Id="rId9" Type="http://schemas.openxmlformats.org/officeDocument/2006/relationships/hyperlink" Target="https://ieeexplore.ieee.org/document/9613735" TargetMode="External"/><Relationship Id="rId14" Type="http://schemas.openxmlformats.org/officeDocument/2006/relationships/hyperlink" Target="https://ieeexplore.ieee.org/document/10012317"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ieeexplore.ieee.org/document/9344837" TargetMode="External"/><Relationship Id="rId13" Type="http://schemas.openxmlformats.org/officeDocument/2006/relationships/hyperlink" Target="https://ieeexplore.ieee.org/document/9950709" TargetMode="External"/><Relationship Id="rId18" Type="http://schemas.openxmlformats.org/officeDocument/2006/relationships/hyperlink" Target="https://ieeexplore.ieee.org/document/9791109" TargetMode="External"/><Relationship Id="rId26" Type="http://schemas.openxmlformats.org/officeDocument/2006/relationships/vmlDrawing" Target="../drawings/vmlDrawing3.vml"/><Relationship Id="rId3" Type="http://schemas.openxmlformats.org/officeDocument/2006/relationships/hyperlink" Target="https://ieeexplore.ieee.org/document/9043508" TargetMode="External"/><Relationship Id="rId21" Type="http://schemas.openxmlformats.org/officeDocument/2006/relationships/hyperlink" Target="https://ieeexplore.ieee.org/document/10423276" TargetMode="External"/><Relationship Id="rId7" Type="http://schemas.openxmlformats.org/officeDocument/2006/relationships/hyperlink" Target="https://ieeexplore.ieee.org/stamp/stamp.jsp?tp=&amp;arnumber=9223865" TargetMode="External"/><Relationship Id="rId12" Type="http://schemas.openxmlformats.org/officeDocument/2006/relationships/hyperlink" Target="https://ieeexplore.ieee.org/document/9574993" TargetMode="External"/><Relationship Id="rId17" Type="http://schemas.openxmlformats.org/officeDocument/2006/relationships/hyperlink" Target="https://ieeexplore.ieee.org/document/9661064" TargetMode="External"/><Relationship Id="rId25" Type="http://schemas.openxmlformats.org/officeDocument/2006/relationships/hyperlink" Target="https://ieeexplore.ieee.org/document/10726929" TargetMode="External"/><Relationship Id="rId2" Type="http://schemas.openxmlformats.org/officeDocument/2006/relationships/hyperlink" Target="https://ieeexplore.ieee.org/stamp/stamp.jsp?tp=&amp;arnumber=4538245" TargetMode="External"/><Relationship Id="rId16" Type="http://schemas.openxmlformats.org/officeDocument/2006/relationships/hyperlink" Target="https://ieeexplore.ieee.org/document/9865392" TargetMode="External"/><Relationship Id="rId20" Type="http://schemas.openxmlformats.org/officeDocument/2006/relationships/hyperlink" Target="https://ieeexplore.ieee.org/document/10418549" TargetMode="External"/><Relationship Id="rId1" Type="http://schemas.openxmlformats.org/officeDocument/2006/relationships/hyperlink" Target="https://ieeexplore.ieee.org/stamp/stamp.jsp?tp=&amp;arnumber=1406056&amp;tag=1" TargetMode="External"/><Relationship Id="rId6" Type="http://schemas.openxmlformats.org/officeDocument/2006/relationships/hyperlink" Target="https://ieeexplore.ieee.org/document/9224106" TargetMode="External"/><Relationship Id="rId11" Type="http://schemas.openxmlformats.org/officeDocument/2006/relationships/hyperlink" Target="https://ieeexplore.ieee.org/document/9574918" TargetMode="External"/><Relationship Id="rId24" Type="http://schemas.openxmlformats.org/officeDocument/2006/relationships/hyperlink" Target="https://ieeexplore.ieee.org/document/10714020" TargetMode="External"/><Relationship Id="rId5" Type="http://schemas.openxmlformats.org/officeDocument/2006/relationships/hyperlink" Target="https://ieeexplore.ieee.org/document/9223922" TargetMode="External"/><Relationship Id="rId15" Type="http://schemas.openxmlformats.org/officeDocument/2006/relationships/hyperlink" Target="https://ieeexplore.ieee.org/document/9863158" TargetMode="External"/><Relationship Id="rId23" Type="http://schemas.openxmlformats.org/officeDocument/2006/relationships/hyperlink" Target="https://ieeexplore.ieee.org/document/10187946" TargetMode="External"/><Relationship Id="rId28" Type="http://schemas.microsoft.com/office/2017/10/relationships/threadedComment" Target="../threadedComments/threadedComment3.xml"/><Relationship Id="rId10" Type="http://schemas.openxmlformats.org/officeDocument/2006/relationships/hyperlink" Target="https://ieeexplore.ieee.org/document/9459460" TargetMode="External"/><Relationship Id="rId19" Type="http://schemas.openxmlformats.org/officeDocument/2006/relationships/hyperlink" Target="https://ieeexplore.ieee.org/stamp/stamp.jsp?tp=&amp;arnumber=10363625" TargetMode="External"/><Relationship Id="rId4" Type="http://schemas.openxmlformats.org/officeDocument/2006/relationships/hyperlink" Target="https://ieeexplore.ieee.org/document/9224049" TargetMode="External"/><Relationship Id="rId9" Type="http://schemas.openxmlformats.org/officeDocument/2006/relationships/hyperlink" Target="https://ieeexplore.ieee.org/document/9415645" TargetMode="External"/><Relationship Id="rId14" Type="http://schemas.openxmlformats.org/officeDocument/2006/relationships/hyperlink" Target="https://ieeexplore.ieee.org/document/9863208" TargetMode="External"/><Relationship Id="rId22" Type="http://schemas.openxmlformats.org/officeDocument/2006/relationships/hyperlink" Target="https://ieeexplore.ieee.org/document/10252156" TargetMode="External"/><Relationship Id="rId27"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hyperlink" Target="https://ieeexplore.ieee.org/document/9831185" TargetMode="External"/><Relationship Id="rId7" Type="http://schemas.microsoft.com/office/2017/10/relationships/threadedComment" Target="../threadedComments/threadedComment4.xml"/><Relationship Id="rId2" Type="http://schemas.openxmlformats.org/officeDocument/2006/relationships/hyperlink" Target="https://ieeexplore.ieee.org/document/9340337" TargetMode="External"/><Relationship Id="rId1" Type="http://schemas.openxmlformats.org/officeDocument/2006/relationships/hyperlink" Target="https://ieeexplore.ieee.org/document/9374769"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hyperlink" Target="https://ieeexplore.ieee.org/document/10124757"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ieeexplore.ieee.org/document/9399482" TargetMode="External"/><Relationship Id="rId18" Type="http://schemas.openxmlformats.org/officeDocument/2006/relationships/hyperlink" Target="https://ieeexplore.ieee.org/document/9575002" TargetMode="External"/><Relationship Id="rId26" Type="http://schemas.openxmlformats.org/officeDocument/2006/relationships/hyperlink" Target="https://ieeexplore.ieee.org/document/10056980" TargetMode="External"/><Relationship Id="rId3" Type="http://schemas.openxmlformats.org/officeDocument/2006/relationships/hyperlink" Target="https://ieeexplore.ieee.org/stamp/stamp.jsp?tp=&amp;arnumber=7577855" TargetMode="External"/><Relationship Id="rId21" Type="http://schemas.openxmlformats.org/officeDocument/2006/relationships/hyperlink" Target="https://ieeexplore.ieee.org/document/9650549" TargetMode="External"/><Relationship Id="rId7" Type="http://schemas.openxmlformats.org/officeDocument/2006/relationships/hyperlink" Target="https://ieeexplore.ieee.org/document/8844744" TargetMode="External"/><Relationship Id="rId12" Type="http://schemas.openxmlformats.org/officeDocument/2006/relationships/hyperlink" Target="https://ieeexplore.ieee.org/document/9366489" TargetMode="External"/><Relationship Id="rId17" Type="http://schemas.openxmlformats.org/officeDocument/2006/relationships/hyperlink" Target="https://ieeexplore.ieee.org/document/9459702" TargetMode="External"/><Relationship Id="rId25" Type="http://schemas.openxmlformats.org/officeDocument/2006/relationships/hyperlink" Target="https://ieeexplore.ieee.org/document/10103866" TargetMode="External"/><Relationship Id="rId33" Type="http://schemas.microsoft.com/office/2017/10/relationships/threadedComment" Target="../threadedComments/threadedComment5.xml"/><Relationship Id="rId2" Type="http://schemas.openxmlformats.org/officeDocument/2006/relationships/hyperlink" Target="https://ieeexplore.ieee.org/stamp/stamp.jsp?tp=&amp;arnumber=1494051" TargetMode="External"/><Relationship Id="rId16" Type="http://schemas.openxmlformats.org/officeDocument/2006/relationships/hyperlink" Target="https://ieeexplore.ieee.org/document/9490504" TargetMode="External"/><Relationship Id="rId20" Type="http://schemas.openxmlformats.org/officeDocument/2006/relationships/hyperlink" Target="https://ieeexplore.ieee.org/document/9674742" TargetMode="External"/><Relationship Id="rId29" Type="http://schemas.openxmlformats.org/officeDocument/2006/relationships/hyperlink" Target="https://ieeexplore.ieee.org/document/10449901" TargetMode="External"/><Relationship Id="rId1" Type="http://schemas.openxmlformats.org/officeDocument/2006/relationships/hyperlink" Target="https://ieeexplore.ieee.org/stamp/stamp.jsp?tp=&amp;arnumber=1427728" TargetMode="External"/><Relationship Id="rId6" Type="http://schemas.openxmlformats.org/officeDocument/2006/relationships/hyperlink" Target="https://ieeexplore.ieee.org/document/8701862" TargetMode="External"/><Relationship Id="rId11" Type="http://schemas.openxmlformats.org/officeDocument/2006/relationships/hyperlink" Target="https://ieeexplore.ieee.org/document/9344837" TargetMode="External"/><Relationship Id="rId24" Type="http://schemas.openxmlformats.org/officeDocument/2006/relationships/hyperlink" Target="https://ieeexplore.ieee.org/document/9905656" TargetMode="External"/><Relationship Id="rId32" Type="http://schemas.openxmlformats.org/officeDocument/2006/relationships/comments" Target="../comments5.xml"/><Relationship Id="rId5" Type="http://schemas.openxmlformats.org/officeDocument/2006/relationships/hyperlink" Target="https://ieeexplore.ieee.org/document/8948241" TargetMode="External"/><Relationship Id="rId15" Type="http://schemas.openxmlformats.org/officeDocument/2006/relationships/hyperlink" Target="https://ieeexplore.ieee.org./document/9490435" TargetMode="External"/><Relationship Id="rId23" Type="http://schemas.openxmlformats.org/officeDocument/2006/relationships/hyperlink" Target="https://ieeexplore.ieee.org/document/9849023" TargetMode="External"/><Relationship Id="rId28" Type="http://schemas.openxmlformats.org/officeDocument/2006/relationships/hyperlink" Target="https://ieeexplore.ieee.org/document/10186168" TargetMode="External"/><Relationship Id="rId10" Type="http://schemas.openxmlformats.org/officeDocument/2006/relationships/hyperlink" Target="https://ieeexplore.ieee.org/document/9292411" TargetMode="External"/><Relationship Id="rId19" Type="http://schemas.openxmlformats.org/officeDocument/2006/relationships/hyperlink" Target="https://ieeexplore.ieee.org/document/9629287" TargetMode="External"/><Relationship Id="rId31" Type="http://schemas.openxmlformats.org/officeDocument/2006/relationships/vmlDrawing" Target="../drawings/vmlDrawing5.vml"/><Relationship Id="rId4" Type="http://schemas.openxmlformats.org/officeDocument/2006/relationships/hyperlink" Target="https://ieeexplore.ieee.org/document/9087903" TargetMode="External"/><Relationship Id="rId9" Type="http://schemas.openxmlformats.org/officeDocument/2006/relationships/hyperlink" Target="https://ieeexplore.ieee.org/document/9133190" TargetMode="External"/><Relationship Id="rId14" Type="http://schemas.openxmlformats.org/officeDocument/2006/relationships/hyperlink" Target="https://ieeexplore.ieee.org/document/9509333" TargetMode="External"/><Relationship Id="rId22" Type="http://schemas.openxmlformats.org/officeDocument/2006/relationships/hyperlink" Target="https://ieeexplore.ieee.org/document/9756546" TargetMode="External"/><Relationship Id="rId27" Type="http://schemas.openxmlformats.org/officeDocument/2006/relationships/hyperlink" Target="https://ieeexplore.ieee.org/document/10144625" TargetMode="External"/><Relationship Id="rId30" Type="http://schemas.openxmlformats.org/officeDocument/2006/relationships/printerSettings" Target="../printerSettings/printerSettings3.bin"/><Relationship Id="rId8" Type="http://schemas.openxmlformats.org/officeDocument/2006/relationships/hyperlink" Target="https://ieeexplore-ieee-org/stamp/stamp.jsp?tp=&amp;arnumber=9218409"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ieeexplore-ieee-org.ezproxy.lib.ucalgary.ca/stamp/stamp.jsp?tp=&amp;arnumber=6259470" TargetMode="External"/><Relationship Id="rId18" Type="http://schemas.openxmlformats.org/officeDocument/2006/relationships/hyperlink" Target="https://ieeexplore-ieee-org.ezproxy.lib.ucalgary.ca/stamp/stamp.jsp?tp=&amp;arnumber=8058796" TargetMode="External"/><Relationship Id="rId26" Type="http://schemas.openxmlformats.org/officeDocument/2006/relationships/hyperlink" Target="https://ieeexplore.ieee.org/document/9153820" TargetMode="External"/><Relationship Id="rId39" Type="http://schemas.openxmlformats.org/officeDocument/2006/relationships/vmlDrawing" Target="../drawings/vmlDrawing6.vml"/><Relationship Id="rId21" Type="http://schemas.openxmlformats.org/officeDocument/2006/relationships/hyperlink" Target="https://ieeexplore-ieee-org.ezproxy.lib.ucalgary.ca/stamp/stamp.jsp?tp=&amp;arnumber=4804612" TargetMode="External"/><Relationship Id="rId34" Type="http://schemas.openxmlformats.org/officeDocument/2006/relationships/hyperlink" Target="https://ieeexplore.ieee.org/document/9680783" TargetMode="External"/><Relationship Id="rId7" Type="http://schemas.openxmlformats.org/officeDocument/2006/relationships/hyperlink" Target="https://ieeexplore-ieee-org.ezproxy.lib.ucalgary.ca/stamp/stamp.jsp?tp=&amp;arnumber=1339093" TargetMode="External"/><Relationship Id="rId2" Type="http://schemas.openxmlformats.org/officeDocument/2006/relationships/hyperlink" Target="https://ieeexplore.ieee.org/stamp/stamp.jsp?tp=&amp;arnumber=5325669" TargetMode="External"/><Relationship Id="rId16" Type="http://schemas.openxmlformats.org/officeDocument/2006/relationships/hyperlink" Target="https://ieeexplore-ieee-org.ezproxy.lib.ucalgary.ca/stamp/stamp.jsp?tp=&amp;arnumber=7166766" TargetMode="External"/><Relationship Id="rId20" Type="http://schemas.openxmlformats.org/officeDocument/2006/relationships/hyperlink" Target="https://ieeexplore-ieee-org.ezproxy.lib.ucalgary.ca/stamp/stamp.jsp?tp=&amp;arnumber=1303660" TargetMode="External"/><Relationship Id="rId29" Type="http://schemas.openxmlformats.org/officeDocument/2006/relationships/hyperlink" Target="https://ieeexplore.ieee.org/document/9417206" TargetMode="External"/><Relationship Id="rId41" Type="http://schemas.microsoft.com/office/2017/10/relationships/threadedComment" Target="../threadedComments/threadedComment6.xml"/><Relationship Id="rId1" Type="http://schemas.openxmlformats.org/officeDocument/2006/relationships/hyperlink" Target="https://ieeexplore.ieee.org/stamp/stamp.jsp?tp=&amp;arnumber=4061062" TargetMode="External"/><Relationship Id="rId6" Type="http://schemas.openxmlformats.org/officeDocument/2006/relationships/hyperlink" Target="https://ieeexplore-ieee-org.ezproxy.lib.ucalgary.ca/stamp/stamp.jsp?tp=&amp;arnumber=6242326" TargetMode="External"/><Relationship Id="rId11" Type="http://schemas.openxmlformats.org/officeDocument/2006/relationships/hyperlink" Target="https://ieeexplore-ieee-org.ezproxy.lib.ucalgary.ca/stamp/stamp.jsp?tp=&amp;arnumber=5518253" TargetMode="External"/><Relationship Id="rId24" Type="http://schemas.openxmlformats.org/officeDocument/2006/relationships/hyperlink" Target="https://ieeexplore-ieee-org.ezproxy.lib.ucalgary.ca/stamp/stamp.jsp?tp=&amp;arnumber=6910321" TargetMode="External"/><Relationship Id="rId32" Type="http://schemas.openxmlformats.org/officeDocument/2006/relationships/hyperlink" Target="https://ieeexplore.ieee.org/document/9575038" TargetMode="External"/><Relationship Id="rId37" Type="http://schemas.openxmlformats.org/officeDocument/2006/relationships/hyperlink" Target="https://ieeexplore.ieee.org/document/10172174" TargetMode="External"/><Relationship Id="rId40" Type="http://schemas.openxmlformats.org/officeDocument/2006/relationships/comments" Target="../comments6.xml"/><Relationship Id="rId5" Type="http://schemas.openxmlformats.org/officeDocument/2006/relationships/hyperlink" Target="https://ieeexplore.ieee.org/stamp/stamp.jsp?tp=&amp;arnumber=6259820" TargetMode="External"/><Relationship Id="rId15" Type="http://schemas.openxmlformats.org/officeDocument/2006/relationships/hyperlink" Target="https://ieeexplore-ieee-org.ezproxy.lib.ucalgary.ca/stamp/stamp.jsp?tp=&amp;arnumber=6697551" TargetMode="External"/><Relationship Id="rId23" Type="http://schemas.openxmlformats.org/officeDocument/2006/relationships/hyperlink" Target="https://ieeexplore-ieee-org.ezproxy.lib.ucalgary.ca/stamp/stamp.jsp?tp=&amp;arnumber=5557753" TargetMode="External"/><Relationship Id="rId28" Type="http://schemas.openxmlformats.org/officeDocument/2006/relationships/hyperlink" Target="https://ieeexplore.ieee.org/document/9234501" TargetMode="External"/><Relationship Id="rId36" Type="http://schemas.openxmlformats.org/officeDocument/2006/relationships/hyperlink" Target="https://ieeexplore.ieee.org/document/9873896" TargetMode="External"/><Relationship Id="rId10" Type="http://schemas.openxmlformats.org/officeDocument/2006/relationships/hyperlink" Target="https://ieeexplore-ieee-org.ezproxy.lib.ucalgary.ca/stamp/stamp.jsp?tp=&amp;arnumber=5165785" TargetMode="External"/><Relationship Id="rId19" Type="http://schemas.openxmlformats.org/officeDocument/2006/relationships/hyperlink" Target="https://ieeexplore-ieee-org.ezproxy.lib.ucalgary.ca/stamp/stamp.jsp?tp=&amp;arnumber=8439698" TargetMode="External"/><Relationship Id="rId31" Type="http://schemas.openxmlformats.org/officeDocument/2006/relationships/hyperlink" Target="https://ieeexplore.ieee.org/document/9574971" TargetMode="External"/><Relationship Id="rId4" Type="http://schemas.openxmlformats.org/officeDocument/2006/relationships/hyperlink" Target="https://ieeexplore.ieee.org/stamp/stamp.jsp?tp=&amp;arnumber=7153571" TargetMode="External"/><Relationship Id="rId9" Type="http://schemas.openxmlformats.org/officeDocument/2006/relationships/hyperlink" Target="https://ieeexplore-ieee-org.ezproxy.lib.ucalgary.ca/stamp/stamp.jsp?tp=&amp;arnumber=5165813" TargetMode="External"/><Relationship Id="rId14" Type="http://schemas.openxmlformats.org/officeDocument/2006/relationships/hyperlink" Target="https://ieeexplore-ieee-org.ezproxy.lib.ucalgary.ca/stamp/stamp.jsp?tp=&amp;arnumber=6259764" TargetMode="External"/><Relationship Id="rId22" Type="http://schemas.openxmlformats.org/officeDocument/2006/relationships/hyperlink" Target="https://ieeexplore-ieee-org.ezproxy.lib.ucalgary.ca/stamp/stamp.jsp?tp=&amp;arnumber=5339110" TargetMode="External"/><Relationship Id="rId27" Type="http://schemas.openxmlformats.org/officeDocument/2006/relationships/hyperlink" Target="https://ieeexplore.ieee.org/document/9189934" TargetMode="External"/><Relationship Id="rId30" Type="http://schemas.openxmlformats.org/officeDocument/2006/relationships/hyperlink" Target="https://ieeexplore.ieee.org/document/9521154" TargetMode="External"/><Relationship Id="rId35" Type="http://schemas.openxmlformats.org/officeDocument/2006/relationships/hyperlink" Target="https://ieeexplore.ieee.org/document/9865528" TargetMode="External"/><Relationship Id="rId8" Type="http://schemas.openxmlformats.org/officeDocument/2006/relationships/hyperlink" Target="https://ieeexplore-ieee-org.ezproxy.lib.ucalgary.ca/stamp/stamp.jsp?tp=&amp;arnumber=4015328" TargetMode="External"/><Relationship Id="rId3" Type="http://schemas.openxmlformats.org/officeDocument/2006/relationships/hyperlink" Target="https://ieeexplore.ieee.org/stamp/stamp.jsp?tp=&amp;arnumber=5427096" TargetMode="External"/><Relationship Id="rId12" Type="http://schemas.openxmlformats.org/officeDocument/2006/relationships/hyperlink" Target="https://ieeexplore-ieee-org.ezproxy.lib.ucalgary.ca/stamp/stamp.jsp?tp=&amp;arnumber=5972761" TargetMode="External"/><Relationship Id="rId17" Type="http://schemas.openxmlformats.org/officeDocument/2006/relationships/hyperlink" Target="https://ieeexplore-ieee-org.ezproxy.lib.ucalgary.ca/stamp/stamp.jsp?tp=&amp;arnumber=7540307" TargetMode="External"/><Relationship Id="rId25" Type="http://schemas.openxmlformats.org/officeDocument/2006/relationships/hyperlink" Target="https://ieeexplore.ieee.org/stamp/stamp.jsp?tp=&amp;arnumber=8621028" TargetMode="External"/><Relationship Id="rId33" Type="http://schemas.openxmlformats.org/officeDocument/2006/relationships/hyperlink" Target="https://ieeexplore.ieee.org/document/9662226" TargetMode="External"/><Relationship Id="rId38"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topLeftCell="A16" workbookViewId="0">
      <selection activeCell="A38" sqref="A38"/>
    </sheetView>
  </sheetViews>
  <sheetFormatPr defaultRowHeight="15"/>
  <cols>
    <col min="1" max="1" width="11.5703125" customWidth="1"/>
  </cols>
  <sheetData>
    <row r="1" spans="1:9">
      <c r="A1" t="s">
        <v>3746</v>
      </c>
    </row>
    <row r="3" spans="1:9">
      <c r="A3" s="3" t="s">
        <v>2710</v>
      </c>
    </row>
    <row r="5" spans="1:9">
      <c r="A5" t="s">
        <v>2912</v>
      </c>
    </row>
    <row r="7" spans="1:9">
      <c r="A7" t="s">
        <v>2433</v>
      </c>
    </row>
    <row r="8" spans="1:9">
      <c r="A8" t="s">
        <v>2705</v>
      </c>
      <c r="I8" s="4" t="s">
        <v>2706</v>
      </c>
    </row>
    <row r="9" spans="1:9">
      <c r="I9" s="4"/>
    </row>
    <row r="10" spans="1:9">
      <c r="A10" t="s">
        <v>3018</v>
      </c>
      <c r="F10" s="4" t="s">
        <v>3019</v>
      </c>
      <c r="I10" s="4"/>
    </row>
    <row r="11" spans="1:9">
      <c r="I11" s="4"/>
    </row>
    <row r="12" spans="1:9">
      <c r="A12" t="s">
        <v>2716</v>
      </c>
    </row>
    <row r="14" spans="1:9">
      <c r="A14" t="s">
        <v>2814</v>
      </c>
    </row>
    <row r="17" spans="1:3">
      <c r="A17" t="s">
        <v>2434</v>
      </c>
      <c r="C17" t="s">
        <v>2435</v>
      </c>
    </row>
    <row r="18" spans="1:3">
      <c r="A18" t="s">
        <v>2447</v>
      </c>
      <c r="C18" t="s">
        <v>2448</v>
      </c>
    </row>
    <row r="19" spans="1:3">
      <c r="A19" t="s">
        <v>2449</v>
      </c>
      <c r="C19" t="s">
        <v>2450</v>
      </c>
    </row>
    <row r="20" spans="1:3">
      <c r="A20" t="s">
        <v>2707</v>
      </c>
      <c r="C20" t="s">
        <v>2708</v>
      </c>
    </row>
    <row r="21" spans="1:3">
      <c r="A21" t="s">
        <v>2451</v>
      </c>
      <c r="C21" t="s">
        <v>2709</v>
      </c>
    </row>
    <row r="22" spans="1:3">
      <c r="A22" s="84" t="s">
        <v>2711</v>
      </c>
      <c r="C22" t="s">
        <v>2709</v>
      </c>
    </row>
    <row r="23" spans="1:3">
      <c r="A23" t="s">
        <v>2821</v>
      </c>
      <c r="C23" t="s">
        <v>2709</v>
      </c>
    </row>
    <row r="24" spans="1:3">
      <c r="A24" s="84">
        <v>44228</v>
      </c>
      <c r="C24" t="s">
        <v>2709</v>
      </c>
    </row>
    <row r="25" spans="1:3">
      <c r="A25" s="84">
        <v>44260</v>
      </c>
      <c r="C25" t="s">
        <v>2709</v>
      </c>
    </row>
    <row r="26" spans="1:3">
      <c r="A26" s="84">
        <v>44321</v>
      </c>
      <c r="C26" t="s">
        <v>2709</v>
      </c>
    </row>
    <row r="27" spans="1:3">
      <c r="A27" s="84">
        <v>44324</v>
      </c>
      <c r="C27" t="s">
        <v>2913</v>
      </c>
    </row>
    <row r="28" spans="1:3">
      <c r="A28" s="84">
        <v>44351</v>
      </c>
      <c r="C28" t="s">
        <v>2709</v>
      </c>
    </row>
    <row r="29" spans="1:3">
      <c r="A29" s="84">
        <v>44466</v>
      </c>
      <c r="C29" t="s">
        <v>3017</v>
      </c>
    </row>
    <row r="30" spans="1:3">
      <c r="A30" s="84">
        <v>44547</v>
      </c>
      <c r="C30" t="s">
        <v>2709</v>
      </c>
    </row>
    <row r="31" spans="1:3">
      <c r="A31" s="84">
        <v>44558</v>
      </c>
      <c r="C31" t="s">
        <v>3083</v>
      </c>
    </row>
    <row r="32" spans="1:3">
      <c r="A32" s="84">
        <v>44623</v>
      </c>
      <c r="C32" t="s">
        <v>2709</v>
      </c>
    </row>
    <row r="33" spans="1:3">
      <c r="A33" s="84">
        <v>44911</v>
      </c>
      <c r="C33" t="s">
        <v>2709</v>
      </c>
    </row>
    <row r="34" spans="1:3">
      <c r="A34" s="84">
        <v>45119</v>
      </c>
      <c r="C34" t="s">
        <v>2709</v>
      </c>
    </row>
    <row r="35" spans="1:3">
      <c r="A35" s="84">
        <v>45338</v>
      </c>
      <c r="C35" t="s">
        <v>2709</v>
      </c>
    </row>
    <row r="36" spans="1:3">
      <c r="A36" s="84">
        <v>45615</v>
      </c>
      <c r="C36" t="s">
        <v>2709</v>
      </c>
    </row>
    <row r="37" spans="1:3">
      <c r="A37" s="84">
        <v>46000</v>
      </c>
      <c r="C37" t="s">
        <v>2709</v>
      </c>
    </row>
  </sheetData>
  <hyperlinks>
    <hyperlink ref="I8" r:id="rId1" xr:uid="{00000000-0004-0000-0000-000000000000}"/>
    <hyperlink ref="F10"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A1:U97"/>
  <sheetViews>
    <sheetView topLeftCell="B1" workbookViewId="0">
      <selection activeCell="P27" sqref="P27"/>
    </sheetView>
  </sheetViews>
  <sheetFormatPr defaultRowHeight="15"/>
  <sheetData>
    <row r="1" spans="1:10">
      <c r="A1" t="s">
        <v>326</v>
      </c>
    </row>
    <row r="4" spans="1:10"/>
    <row r="6" spans="1:10"/>
    <row r="9" spans="1:10"/>
    <row r="12" spans="1:10"/>
    <row r="16" spans="1:10"/>
    <row r="19" spans="6:7"/>
    <row r="22" spans="6:7"/>
    <row r="25" spans="6:7"/>
    <row r="28" spans="6:7"/>
    <row r="31" spans="6:7"/>
    <row r="34" spans="6:11"/>
    <row r="36" spans="6:11"/>
    <row r="40" spans="6:11">
      <c r="G40" t="s">
        <v>344</v>
      </c>
    </row>
    <row r="43" spans="6:11">
      <c r="G43" t="s">
        <v>373</v>
      </c>
    </row>
    <row r="46" spans="6:11"/>
    <row r="49" spans="6:21"/>
    <row r="52" spans="6:21"/>
    <row r="55" spans="6:21"/>
    <row r="57" spans="6:21"/>
    <row r="61" spans="6:21"/>
    <row r="62" spans="6:21">
      <c r="R62">
        <v>278.37673000000001</v>
      </c>
      <c r="S62">
        <v>5.8400000000000001E-2</v>
      </c>
      <c r="U62">
        <v>12.11</v>
      </c>
    </row>
    <row r="63" spans="6:21">
      <c r="R63">
        <v>253.06899999999999</v>
      </c>
    </row>
    <row r="67" spans="6:10"/>
    <row r="70" spans="6:10"/>
    <row r="72" spans="6:10"/>
    <row r="75" spans="6:10">
      <c r="J75" t="s">
        <v>373</v>
      </c>
    </row>
    <row r="78" spans="6:10"/>
    <row r="79" spans="6:10" ht="15.75" customHeight="1"/>
    <row r="81" spans="5:7"/>
    <row r="84" spans="5:7"/>
    <row r="86" spans="5:7"/>
    <row r="89" spans="5:7"/>
    <row r="91" spans="5:7"/>
    <row r="94" spans="5:7"/>
    <row r="97" spans="6:6"/>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686"/>
  <sheetViews>
    <sheetView zoomScale="85" zoomScaleNormal="85" workbookViewId="0">
      <pane ySplit="1" topLeftCell="A655" activePane="bottomLeft" state="frozen"/>
      <selection activeCell="E1" sqref="E1"/>
      <selection pane="bottomLeft" activeCell="D686" sqref="D686"/>
    </sheetView>
  </sheetViews>
  <sheetFormatPr defaultRowHeight="15"/>
  <cols>
    <col min="1" max="1" width="11.85546875" bestFit="1" customWidth="1"/>
    <col min="2" max="2" width="10.42578125" customWidth="1"/>
    <col min="3" max="3" width="11" customWidth="1"/>
    <col min="5" max="5" width="13.42578125" style="1" customWidth="1"/>
    <col min="6" max="7" width="13.85546875" style="1" customWidth="1"/>
    <col min="8" max="8" width="10.28515625" style="1" customWidth="1"/>
    <col min="9" max="9" width="14.5703125" style="1" customWidth="1"/>
    <col min="10" max="10" width="10.85546875" style="1" customWidth="1"/>
    <col min="11" max="11" width="11.28515625" style="1" customWidth="1"/>
    <col min="12" max="12" width="10.7109375" style="1" customWidth="1"/>
    <col min="13" max="13" width="8" style="1" customWidth="1"/>
    <col min="14" max="14" width="9.140625" style="1"/>
    <col min="15" max="15" width="16" style="1" customWidth="1"/>
    <col min="16" max="16" width="13.85546875" style="1" customWidth="1"/>
    <col min="17" max="17" width="5.85546875" style="112" customWidth="1"/>
    <col min="18" max="18" width="5.28515625" style="119" bestFit="1" customWidth="1"/>
    <col min="19" max="19" width="9.140625" style="118" customWidth="1"/>
    <col min="20" max="20" width="8" style="118" bestFit="1" customWidth="1"/>
    <col min="21" max="23" width="8" style="118" customWidth="1"/>
    <col min="24" max="24" width="9.42578125" style="112" bestFit="1" customWidth="1"/>
    <col min="25" max="25" width="9.42578125" customWidth="1"/>
    <col min="26" max="26" width="10.28515625" customWidth="1"/>
    <col min="27" max="27" width="9.140625" customWidth="1"/>
  </cols>
  <sheetData>
    <row r="1" spans="1:28" s="5" customFormat="1" ht="15.75">
      <c r="A1" s="41" t="s">
        <v>0</v>
      </c>
      <c r="B1" s="42" t="s">
        <v>1</v>
      </c>
      <c r="C1" s="42" t="s">
        <v>2</v>
      </c>
      <c r="D1" s="42" t="s">
        <v>3</v>
      </c>
      <c r="E1" s="57" t="s">
        <v>13</v>
      </c>
      <c r="F1" s="57" t="s">
        <v>6</v>
      </c>
      <c r="G1" s="57" t="s">
        <v>1860</v>
      </c>
      <c r="H1" s="57" t="s">
        <v>10</v>
      </c>
      <c r="I1" s="57" t="s">
        <v>9</v>
      </c>
      <c r="J1" s="57" t="s">
        <v>2712</v>
      </c>
      <c r="K1" s="57" t="s">
        <v>21</v>
      </c>
      <c r="L1" s="57" t="s">
        <v>8</v>
      </c>
      <c r="M1" s="57" t="s">
        <v>1108</v>
      </c>
      <c r="N1" s="57" t="s">
        <v>335</v>
      </c>
      <c r="O1" s="57" t="s">
        <v>3089</v>
      </c>
      <c r="P1" s="57" t="s">
        <v>325</v>
      </c>
      <c r="Q1" s="115" t="s">
        <v>3003</v>
      </c>
      <c r="R1" s="116" t="s">
        <v>2418</v>
      </c>
      <c r="S1" s="117" t="s">
        <v>3004</v>
      </c>
      <c r="T1" s="117" t="s">
        <v>3005</v>
      </c>
      <c r="U1" s="117" t="s">
        <v>3006</v>
      </c>
      <c r="V1" s="117" t="s">
        <v>3007</v>
      </c>
      <c r="W1" s="117" t="s">
        <v>3008</v>
      </c>
      <c r="X1" s="115" t="s">
        <v>2272</v>
      </c>
      <c r="Y1" s="42"/>
      <c r="Z1" s="42" t="s">
        <v>4</v>
      </c>
    </row>
    <row r="2" spans="1:28" s="5" customFormat="1" ht="15.75">
      <c r="A2" s="41" t="s">
        <v>416</v>
      </c>
      <c r="B2" s="42"/>
      <c r="C2" s="42"/>
      <c r="D2" s="42"/>
      <c r="E2" s="57"/>
      <c r="F2" s="57"/>
      <c r="G2" s="57"/>
      <c r="H2" s="57"/>
      <c r="I2" s="57"/>
      <c r="J2" s="57"/>
      <c r="K2" s="57"/>
      <c r="L2" s="57"/>
      <c r="M2" s="57"/>
      <c r="N2" s="57"/>
      <c r="O2" s="57"/>
      <c r="P2" s="57"/>
      <c r="Q2" s="115"/>
      <c r="R2" s="116"/>
      <c r="S2" s="117"/>
      <c r="T2" s="117"/>
      <c r="U2" s="117"/>
      <c r="V2" s="117"/>
      <c r="W2" s="117"/>
      <c r="X2" s="115"/>
      <c r="Y2" s="42"/>
      <c r="Z2" s="42"/>
    </row>
    <row r="3" spans="1:28" ht="16.5" customHeight="1">
      <c r="A3" s="2" t="s">
        <v>1800</v>
      </c>
      <c r="B3" s="8" t="s">
        <v>1873</v>
      </c>
      <c r="C3" t="s">
        <v>1874</v>
      </c>
      <c r="D3" t="s">
        <v>1875</v>
      </c>
      <c r="E3" s="61">
        <v>0.25</v>
      </c>
      <c r="F3" s="62">
        <v>0.03</v>
      </c>
      <c r="G3" s="62">
        <v>0.9</v>
      </c>
      <c r="H3" s="1">
        <v>-18</v>
      </c>
      <c r="I3" s="1">
        <v>1.35</v>
      </c>
      <c r="K3" s="1">
        <v>-4</v>
      </c>
      <c r="L3" s="1">
        <v>12</v>
      </c>
      <c r="M3" s="1">
        <v>1.25</v>
      </c>
      <c r="N3" s="1">
        <v>2</v>
      </c>
      <c r="O3" s="112"/>
      <c r="P3" s="112"/>
      <c r="Q3" s="118">
        <f t="shared" ref="Q3:Q34" si="0">IF(OR(I3="",L3=""),"",(10^(I3/10)-1)*10^(L3/10)/(10^(L3/10)-1))</f>
        <v>0.38913595550141822</v>
      </c>
      <c r="R3" s="119">
        <f t="shared" ref="R3:R34" si="1">IF(Q3="","",290*Q3)</f>
        <v>112.84942709541129</v>
      </c>
      <c r="S3" s="118" t="str">
        <f t="shared" ref="S3:S34" si="2">IF(OR(J3="",L3=""),"",10^(J3/10)*(10^(L3/10)-1))</f>
        <v/>
      </c>
      <c r="T3" s="118">
        <f t="shared" ref="T3:T34" si="3">IF(OR(Q3="",N3="",E3="",G3=""),NA(),10*LOG10(Q3*N3^(1/3)*E3^(-4/3)*G3^(-2/3)))</f>
        <v>5.2369634142936485</v>
      </c>
      <c r="U3" s="118">
        <f t="shared" ref="U3:U34" si="4">IF(OR(ISNA(T3),F3=""),NA(),10*LOG10(F3^(1/3))-T3)</f>
        <v>-10.313225898561441</v>
      </c>
      <c r="V3" s="118" t="e">
        <f t="shared" ref="V3:V34" si="5">IF(OR(ISNA(T3),S3=""),NA(),10*LOG10(S3^(1/3)*E3*G3^(1/3)/Q3/N3^(2/3)))</f>
        <v>#N/A</v>
      </c>
      <c r="W3" s="118" t="e">
        <f t="shared" ref="W3:W34" si="6">IF(OR(ISNA(V3),F3=""),NA(),V3+10*LOG10(F3^(1/3)))</f>
        <v>#N/A</v>
      </c>
      <c r="X3" s="118">
        <f>IF(OR(N3="",R3=""),NA(),10*LOG10((G3+'CMOS FOM coeff. calculation'!$Q$3)^'CMOS FOM coeff. calculation'!$P$3*(1000*E3)^'CMOS FOM coeff. calculation'!$N$3*R3^'CMOS FOM coeff. calculation'!$O$3*N3^'CMOS FOM coeff. calculation'!$M$3))</f>
        <v>21.290564787576336</v>
      </c>
      <c r="Y3" s="68"/>
      <c r="Z3" t="s">
        <v>2084</v>
      </c>
      <c r="AA3" s="3" t="s">
        <v>5</v>
      </c>
    </row>
    <row r="4" spans="1:28" ht="16.5" customHeight="1">
      <c r="A4" s="2" t="s">
        <v>1391</v>
      </c>
      <c r="B4" s="8" t="s">
        <v>22</v>
      </c>
      <c r="C4" t="s">
        <v>407</v>
      </c>
      <c r="D4" t="s">
        <v>31</v>
      </c>
      <c r="E4" s="6">
        <v>0.18</v>
      </c>
      <c r="F4" s="23"/>
      <c r="G4" s="27">
        <v>5.25</v>
      </c>
      <c r="H4" s="1">
        <v>-18</v>
      </c>
      <c r="I4" s="1">
        <v>1.5</v>
      </c>
      <c r="J4" s="1">
        <v>-16</v>
      </c>
      <c r="K4" s="1">
        <v>-5</v>
      </c>
      <c r="L4" s="1">
        <v>20.5</v>
      </c>
      <c r="M4" s="1">
        <v>3</v>
      </c>
      <c r="N4" s="1">
        <v>12</v>
      </c>
      <c r="P4" s="1">
        <v>0.5</v>
      </c>
      <c r="Q4" s="118">
        <f t="shared" si="0"/>
        <v>0.41624735306187521</v>
      </c>
      <c r="R4" s="119">
        <f t="shared" si="1"/>
        <v>120.71173238794381</v>
      </c>
      <c r="S4" s="118">
        <f t="shared" si="2"/>
        <v>2.7932640669493556</v>
      </c>
      <c r="T4" s="118">
        <f t="shared" si="3"/>
        <v>4.9194235776324948</v>
      </c>
      <c r="U4" s="118" t="e">
        <f t="shared" si="4"/>
        <v>#N/A</v>
      </c>
      <c r="V4" s="118">
        <f t="shared" si="5"/>
        <v>-6.9477604442831478</v>
      </c>
      <c r="W4" s="118" t="e">
        <f t="shared" si="6"/>
        <v>#N/A</v>
      </c>
      <c r="X4" s="118">
        <f>IF(OR(N4="",R4=""),NA(),10*LOG10((G4+'CMOS FOM coeff. calculation'!$Q$3)^'CMOS FOM coeff. calculation'!$P$3*(1000*E4)^'CMOS FOM coeff. calculation'!$N$3*R4^'CMOS FOM coeff. calculation'!$O$3*N4^'CMOS FOM coeff. calculation'!$M$3))</f>
        <v>20.671191812370033</v>
      </c>
      <c r="Y4" s="68"/>
      <c r="Z4" t="s">
        <v>2085</v>
      </c>
      <c r="AA4" s="3" t="s">
        <v>5</v>
      </c>
    </row>
    <row r="5" spans="1:28">
      <c r="A5" s="2"/>
      <c r="B5" s="8"/>
      <c r="E5" s="6">
        <v>0.18</v>
      </c>
      <c r="F5" s="23"/>
      <c r="G5" s="27">
        <v>5.25</v>
      </c>
      <c r="H5" s="1">
        <v>-19</v>
      </c>
      <c r="I5" s="1">
        <v>1.5</v>
      </c>
      <c r="J5" s="1">
        <v>-19</v>
      </c>
      <c r="K5" s="1">
        <v>-8</v>
      </c>
      <c r="L5" s="1">
        <v>20</v>
      </c>
      <c r="M5" s="1">
        <v>3</v>
      </c>
      <c r="N5" s="1">
        <v>11.7</v>
      </c>
      <c r="Q5" s="118">
        <f t="shared" si="0"/>
        <v>0.41670459052803471</v>
      </c>
      <c r="R5" s="119">
        <f t="shared" si="1"/>
        <v>120.84433125313006</v>
      </c>
      <c r="S5" s="118">
        <f t="shared" si="2"/>
        <v>1.2463361576762249</v>
      </c>
      <c r="T5" s="118">
        <f t="shared" si="3"/>
        <v>4.8875402962690453</v>
      </c>
      <c r="U5" s="118" t="e">
        <f t="shared" si="4"/>
        <v>#N/A</v>
      </c>
      <c r="V5" s="118">
        <f t="shared" si="5"/>
        <v>-8.0474818817952958</v>
      </c>
      <c r="W5" s="118" t="e">
        <f t="shared" si="6"/>
        <v>#N/A</v>
      </c>
      <c r="X5" s="118">
        <f>IF(OR(N5="",R5=""),NA(),10*LOG10((G5+'CMOS FOM coeff. calculation'!$Q$3)^'CMOS FOM coeff. calculation'!$P$3*(1000*E5)^'CMOS FOM coeff. calculation'!$N$3*R5^'CMOS FOM coeff. calculation'!$O$3*N5^'CMOS FOM coeff. calculation'!$M$3))</f>
        <v>20.688891381295672</v>
      </c>
      <c r="Y5" s="68"/>
      <c r="Z5" s="4"/>
      <c r="AA5" s="3"/>
    </row>
    <row r="6" spans="1:28">
      <c r="A6" t="s">
        <v>1391</v>
      </c>
      <c r="B6" s="8" t="s">
        <v>1876</v>
      </c>
      <c r="C6" t="s">
        <v>15</v>
      </c>
      <c r="D6" t="s">
        <v>1877</v>
      </c>
      <c r="E6" s="6">
        <v>0.25</v>
      </c>
      <c r="G6" s="1">
        <v>0.9</v>
      </c>
      <c r="H6" s="1">
        <v>-11</v>
      </c>
      <c r="I6" s="1">
        <v>1.65</v>
      </c>
      <c r="K6" s="1">
        <v>22</v>
      </c>
      <c r="L6" s="1">
        <v>15.5</v>
      </c>
      <c r="M6" s="1">
        <v>2.6</v>
      </c>
      <c r="N6" s="1">
        <v>24.18</v>
      </c>
      <c r="Q6" s="118">
        <f t="shared" si="0"/>
        <v>0.47558086436226427</v>
      </c>
      <c r="R6" s="119">
        <f t="shared" si="1"/>
        <v>137.91845066505664</v>
      </c>
      <c r="S6" s="118" t="str">
        <f t="shared" si="2"/>
        <v/>
      </c>
      <c r="T6" s="118">
        <f t="shared" si="3"/>
        <v>9.7162811952641555</v>
      </c>
      <c r="U6" s="118" t="e">
        <f t="shared" si="4"/>
        <v>#N/A</v>
      </c>
      <c r="V6" s="118" t="e">
        <f t="shared" si="5"/>
        <v>#N/A</v>
      </c>
      <c r="W6" s="118" t="e">
        <f t="shared" si="6"/>
        <v>#N/A</v>
      </c>
      <c r="X6" s="118">
        <f>IF(OR(N6="",R6=""),NA(),10*LOG10((G6+'CMOS FOM coeff. calculation'!$Q$3)^'CMOS FOM coeff. calculation'!$P$3*(1000*E6)^'CMOS FOM coeff. calculation'!$N$3*R6^'CMOS FOM coeff. calculation'!$O$3*N6^'CMOS FOM coeff. calculation'!$M$3))</f>
        <v>18.341605085563657</v>
      </c>
      <c r="Y6" s="68"/>
      <c r="Z6" s="66" t="s">
        <v>2086</v>
      </c>
      <c r="AA6" s="3" t="s">
        <v>5</v>
      </c>
    </row>
    <row r="7" spans="1:28">
      <c r="A7" t="s">
        <v>1392</v>
      </c>
      <c r="B7" s="8" t="s">
        <v>1878</v>
      </c>
      <c r="C7" s="3" t="s">
        <v>1879</v>
      </c>
      <c r="D7" t="s">
        <v>1880</v>
      </c>
      <c r="E7" s="6">
        <v>0.25</v>
      </c>
      <c r="F7" s="1">
        <v>0.5</v>
      </c>
      <c r="G7" s="1">
        <v>5.2</v>
      </c>
      <c r="H7" s="1">
        <v>-30</v>
      </c>
      <c r="I7" s="1">
        <v>3</v>
      </c>
      <c r="J7" s="1">
        <v>-8.33</v>
      </c>
      <c r="K7" s="1">
        <v>0.3</v>
      </c>
      <c r="L7" s="1">
        <v>10</v>
      </c>
      <c r="M7" s="1">
        <v>2</v>
      </c>
      <c r="N7" s="1">
        <v>10</v>
      </c>
      <c r="P7" s="1">
        <v>0.39750000000000002</v>
      </c>
      <c r="Q7" s="118">
        <f t="shared" si="0"/>
        <v>1.1058470166320886</v>
      </c>
      <c r="R7" s="119">
        <f t="shared" si="1"/>
        <v>320.69563482330568</v>
      </c>
      <c r="S7" s="118">
        <f t="shared" si="2"/>
        <v>1.32203364987948</v>
      </c>
      <c r="T7" s="118">
        <f t="shared" si="3"/>
        <v>7.0243947664645843</v>
      </c>
      <c r="U7" s="118">
        <f t="shared" si="4"/>
        <v>-8.0278280853445203</v>
      </c>
      <c r="V7" s="118">
        <f t="shared" si="5"/>
        <v>-10.333397576022957</v>
      </c>
      <c r="W7" s="118">
        <f t="shared" si="6"/>
        <v>-11.336830894902894</v>
      </c>
      <c r="X7" s="118">
        <f>IF(OR(N7="",R7=""),NA(),10*LOG10((G7+'CMOS FOM coeff. calculation'!$Q$3)^'CMOS FOM coeff. calculation'!$P$3*(1000*E7)^'CMOS FOM coeff. calculation'!$N$3*R7^'CMOS FOM coeff. calculation'!$O$3*N7^'CMOS FOM coeff. calculation'!$M$3))</f>
        <v>17.986777222526804</v>
      </c>
      <c r="Y7" s="68"/>
      <c r="Z7" s="66" t="s">
        <v>2083</v>
      </c>
      <c r="AA7" s="3" t="s">
        <v>35</v>
      </c>
    </row>
    <row r="8" spans="1:28">
      <c r="E8" s="6">
        <v>0.25</v>
      </c>
      <c r="F8" s="1">
        <v>0.5</v>
      </c>
      <c r="G8" s="1">
        <v>5.2</v>
      </c>
      <c r="H8" s="1">
        <v>-45</v>
      </c>
      <c r="I8" s="1">
        <v>2.17</v>
      </c>
      <c r="J8" s="1">
        <v>-8.3000000000000007</v>
      </c>
      <c r="K8" s="1">
        <v>0.3</v>
      </c>
      <c r="L8" s="1">
        <v>11</v>
      </c>
      <c r="M8" s="1">
        <v>2</v>
      </c>
      <c r="N8" s="1">
        <v>10</v>
      </c>
      <c r="P8" s="1">
        <v>0.39750000000000002</v>
      </c>
      <c r="Q8" s="118">
        <f t="shared" si="0"/>
        <v>0.70409026962096477</v>
      </c>
      <c r="R8" s="119">
        <f t="shared" si="1"/>
        <v>204.18617819007977</v>
      </c>
      <c r="S8" s="118">
        <f t="shared" si="2"/>
        <v>1.7141762978460475</v>
      </c>
      <c r="T8" s="118">
        <f t="shared" si="3"/>
        <v>5.0637276851566231</v>
      </c>
      <c r="U8" s="118">
        <f t="shared" si="4"/>
        <v>-6.06716100403656</v>
      </c>
      <c r="V8" s="118">
        <f t="shared" si="5"/>
        <v>-7.9966872403203082</v>
      </c>
      <c r="W8" s="118">
        <f t="shared" si="6"/>
        <v>-9.0001205592002442</v>
      </c>
      <c r="X8" s="118">
        <f>IF(OR(N8="",R8=""),NA(),10*LOG10((G8+'CMOS FOM coeff. calculation'!$Q$3)^'CMOS FOM coeff. calculation'!$P$3*(1000*E8)^'CMOS FOM coeff. calculation'!$N$3*R8^'CMOS FOM coeff. calculation'!$O$3*N8^'CMOS FOM coeff. calculation'!$M$3))</f>
        <v>19.751377595703971</v>
      </c>
      <c r="Y8" s="68"/>
      <c r="Z8" s="4"/>
      <c r="AA8" s="63"/>
    </row>
    <row r="9" spans="1:28">
      <c r="A9" t="s">
        <v>1801</v>
      </c>
      <c r="B9" s="8" t="s">
        <v>23</v>
      </c>
      <c r="C9" s="3" t="s">
        <v>408</v>
      </c>
      <c r="D9" s="7" t="s">
        <v>24</v>
      </c>
      <c r="E9" s="6">
        <v>0.25</v>
      </c>
      <c r="G9" s="1">
        <v>2.14</v>
      </c>
      <c r="H9" s="1">
        <v>-10.5</v>
      </c>
      <c r="I9" s="1">
        <v>1.7</v>
      </c>
      <c r="J9" s="1">
        <v>-8.4</v>
      </c>
      <c r="K9" s="1">
        <v>3.4</v>
      </c>
      <c r="L9" s="1">
        <v>14.2</v>
      </c>
      <c r="M9" s="1">
        <v>3.3</v>
      </c>
      <c r="N9" s="1">
        <v>19.8</v>
      </c>
      <c r="Q9" s="118">
        <f t="shared" si="0"/>
        <v>0.49804347289847412</v>
      </c>
      <c r="R9" s="119">
        <f t="shared" si="1"/>
        <v>144.43260714055748</v>
      </c>
      <c r="S9" s="118">
        <f t="shared" si="2"/>
        <v>3.6573499861310181</v>
      </c>
      <c r="T9" s="118">
        <f t="shared" si="3"/>
        <v>7.1195978912347471</v>
      </c>
      <c r="U9" s="118" t="e">
        <f t="shared" si="4"/>
        <v>#N/A</v>
      </c>
      <c r="V9" s="118">
        <f t="shared" si="5"/>
        <v>-8.6591060599606688</v>
      </c>
      <c r="W9" s="118" t="e">
        <f t="shared" si="6"/>
        <v>#N/A</v>
      </c>
      <c r="X9" s="118">
        <f>IF(OR(N9="",R9=""),NA(),10*LOG10((G9+'CMOS FOM coeff. calculation'!$Q$3)^'CMOS FOM coeff. calculation'!$P$3*(1000*E9)^'CMOS FOM coeff. calculation'!$N$3*R9^'CMOS FOM coeff. calculation'!$O$3*N9^'CMOS FOM coeff. calculation'!$M$3))</f>
        <v>19.020303467532248</v>
      </c>
      <c r="Y9" s="68"/>
      <c r="Z9" s="66" t="s">
        <v>2087</v>
      </c>
      <c r="AA9" s="3" t="s">
        <v>1881</v>
      </c>
    </row>
    <row r="10" spans="1:28">
      <c r="A10" t="s">
        <v>1801</v>
      </c>
      <c r="B10" s="8" t="s">
        <v>25</v>
      </c>
      <c r="C10" s="3" t="s">
        <v>26</v>
      </c>
      <c r="D10" s="7" t="s">
        <v>27</v>
      </c>
      <c r="E10" s="6">
        <v>0.13</v>
      </c>
      <c r="F10" s="23">
        <v>0.1</v>
      </c>
      <c r="G10" s="27">
        <v>2</v>
      </c>
      <c r="H10" s="1">
        <v>-18</v>
      </c>
      <c r="I10" s="1">
        <v>1.6</v>
      </c>
      <c r="K10" s="1">
        <v>-4</v>
      </c>
      <c r="L10" s="1">
        <v>18</v>
      </c>
      <c r="M10" s="1">
        <v>1.2</v>
      </c>
      <c r="N10" s="1">
        <v>8.4</v>
      </c>
      <c r="Q10" s="118">
        <f t="shared" si="0"/>
        <v>0.45261320664624372</v>
      </c>
      <c r="R10" s="119">
        <f t="shared" si="1"/>
        <v>131.25782992741068</v>
      </c>
      <c r="S10" s="118" t="str">
        <f t="shared" si="2"/>
        <v/>
      </c>
      <c r="T10" s="118">
        <f t="shared" si="3"/>
        <v>9.4454251710287664</v>
      </c>
      <c r="U10" s="118">
        <f t="shared" si="4"/>
        <v>-12.778758504362099</v>
      </c>
      <c r="V10" s="118" t="e">
        <f t="shared" si="5"/>
        <v>#N/A</v>
      </c>
      <c r="W10" s="118" t="e">
        <f t="shared" si="6"/>
        <v>#N/A</v>
      </c>
      <c r="X10" s="118">
        <f>IF(OR(N10="",R10=""),NA(),10*LOG10((G10+'CMOS FOM coeff. calculation'!$Q$3)^'CMOS FOM coeff. calculation'!$P$3*(1000*E10)^'CMOS FOM coeff. calculation'!$N$3*R10^'CMOS FOM coeff. calculation'!$O$3*N10^'CMOS FOM coeff. calculation'!$M$3))</f>
        <v>18.076218206379934</v>
      </c>
      <c r="Y10" s="68"/>
      <c r="Z10" s="66" t="s">
        <v>2082</v>
      </c>
      <c r="AA10" s="3" t="s">
        <v>5</v>
      </c>
    </row>
    <row r="11" spans="1:28">
      <c r="A11" t="s">
        <v>1416</v>
      </c>
      <c r="B11" s="8" t="s">
        <v>32</v>
      </c>
      <c r="C11" s="3" t="s">
        <v>33</v>
      </c>
      <c r="D11" s="7" t="s">
        <v>34</v>
      </c>
      <c r="E11" s="6">
        <v>0.18</v>
      </c>
      <c r="F11" s="23"/>
      <c r="G11" s="27">
        <v>5.8</v>
      </c>
      <c r="H11" s="1">
        <v>-5</v>
      </c>
      <c r="I11" s="1">
        <v>2.5</v>
      </c>
      <c r="K11" s="1">
        <v>-2</v>
      </c>
      <c r="L11" s="1">
        <v>13.2</v>
      </c>
      <c r="M11" s="1">
        <v>1</v>
      </c>
      <c r="N11" s="1">
        <v>22</v>
      </c>
      <c r="P11" s="1">
        <v>0.9</v>
      </c>
      <c r="Q11" s="118">
        <f t="shared" si="0"/>
        <v>0.81740276618322882</v>
      </c>
      <c r="R11" s="119">
        <f t="shared" si="1"/>
        <v>237.04680219313636</v>
      </c>
      <c r="S11" s="118" t="str">
        <f t="shared" si="2"/>
        <v/>
      </c>
      <c r="T11" s="118">
        <f t="shared" si="3"/>
        <v>8.4392832750731372</v>
      </c>
      <c r="U11" s="118" t="e">
        <f t="shared" si="4"/>
        <v>#N/A</v>
      </c>
      <c r="V11" s="118" t="e">
        <f t="shared" si="5"/>
        <v>#N/A</v>
      </c>
      <c r="W11" s="118" t="e">
        <f t="shared" si="6"/>
        <v>#N/A</v>
      </c>
      <c r="X11" s="118">
        <f>IF(OR(N11="",R11=""),NA(),10*LOG10((G11+'CMOS FOM coeff. calculation'!$Q$3)^'CMOS FOM coeff. calculation'!$P$3*(1000*E11)^'CMOS FOM coeff. calculation'!$N$3*R11^'CMOS FOM coeff. calculation'!$O$3*N11^'CMOS FOM coeff. calculation'!$M$3))</f>
        <v>17.749155178551245</v>
      </c>
      <c r="Y11" s="68"/>
      <c r="Z11" s="66" t="s">
        <v>2081</v>
      </c>
      <c r="AA11" s="3" t="s">
        <v>5</v>
      </c>
    </row>
    <row r="12" spans="1:28">
      <c r="A12" t="s">
        <v>1802</v>
      </c>
      <c r="B12" s="8" t="s">
        <v>1882</v>
      </c>
      <c r="C12" s="3" t="s">
        <v>1883</v>
      </c>
      <c r="D12" s="7" t="s">
        <v>1884</v>
      </c>
      <c r="E12" s="6">
        <v>0.25</v>
      </c>
      <c r="F12" s="1">
        <v>0.67500000000000004</v>
      </c>
      <c r="G12" s="1">
        <v>5.5</v>
      </c>
      <c r="H12" s="1">
        <v>-17</v>
      </c>
      <c r="I12" s="1">
        <v>2.2599999999999998</v>
      </c>
      <c r="L12" s="1">
        <v>21</v>
      </c>
      <c r="M12" s="1">
        <v>2.5</v>
      </c>
      <c r="N12" s="1">
        <v>30</v>
      </c>
      <c r="Q12" s="118">
        <f t="shared" si="0"/>
        <v>0.68814015259702033</v>
      </c>
      <c r="R12" s="119">
        <f t="shared" si="1"/>
        <v>199.56064425313591</v>
      </c>
      <c r="S12" s="118" t="str">
        <f t="shared" si="2"/>
        <v/>
      </c>
      <c r="T12" s="118">
        <f t="shared" si="3"/>
        <v>6.3922217977604614</v>
      </c>
      <c r="U12" s="118">
        <f t="shared" si="4"/>
        <v>-6.9612092216570449</v>
      </c>
      <c r="V12" s="118" t="e">
        <f t="shared" si="5"/>
        <v>#N/A</v>
      </c>
      <c r="W12" s="118" t="e">
        <f t="shared" si="6"/>
        <v>#N/A</v>
      </c>
      <c r="X12" s="118">
        <f>IF(OR(N12="",R12=""),NA(),10*LOG10((G12+'CMOS FOM coeff. calculation'!$Q$3)^'CMOS FOM coeff. calculation'!$P$3*(1000*E12)^'CMOS FOM coeff. calculation'!$N$3*R12^'CMOS FOM coeff. calculation'!$O$3*N12^'CMOS FOM coeff. calculation'!$M$3))</f>
        <v>19.019987998550846</v>
      </c>
      <c r="Y12" s="68"/>
      <c r="Z12" s="66" t="s">
        <v>2080</v>
      </c>
      <c r="AA12" s="3" t="s">
        <v>35</v>
      </c>
    </row>
    <row r="13" spans="1:28">
      <c r="E13" s="6">
        <v>0.25</v>
      </c>
      <c r="F13" s="1">
        <v>0.67500000000000004</v>
      </c>
      <c r="G13" s="1">
        <v>5.5</v>
      </c>
      <c r="H13" s="1">
        <v>-11</v>
      </c>
      <c r="I13" s="1">
        <v>1.78</v>
      </c>
      <c r="L13" s="1">
        <v>23</v>
      </c>
      <c r="M13" s="1">
        <v>2.5</v>
      </c>
      <c r="N13" s="1">
        <v>30</v>
      </c>
      <c r="Q13" s="118">
        <f t="shared" si="0"/>
        <v>0.50915890562058885</v>
      </c>
      <c r="R13" s="119">
        <f t="shared" si="1"/>
        <v>147.65608262997077</v>
      </c>
      <c r="S13" s="118" t="str">
        <f t="shared" si="2"/>
        <v/>
      </c>
      <c r="T13" s="118">
        <f t="shared" si="3"/>
        <v>5.0839862469610866</v>
      </c>
      <c r="U13" s="118">
        <f t="shared" si="4"/>
        <v>-5.6529736708576701</v>
      </c>
      <c r="V13" s="118" t="e">
        <f t="shared" si="5"/>
        <v>#N/A</v>
      </c>
      <c r="W13" s="118" t="e">
        <f t="shared" si="6"/>
        <v>#N/A</v>
      </c>
      <c r="X13" s="118">
        <f>IF(OR(N13="",R13=""),NA(),10*LOG10((G13+'CMOS FOM coeff. calculation'!$Q$3)^'CMOS FOM coeff. calculation'!$P$3*(1000*E13)^'CMOS FOM coeff. calculation'!$N$3*R13^'CMOS FOM coeff. calculation'!$O$3*N13^'CMOS FOM coeff. calculation'!$M$3))</f>
        <v>20.197399994270281</v>
      </c>
      <c r="Y13" s="68"/>
    </row>
    <row r="14" spans="1:28">
      <c r="A14" t="s">
        <v>1425</v>
      </c>
      <c r="B14" s="8" t="s">
        <v>39</v>
      </c>
      <c r="C14" s="3" t="s">
        <v>40</v>
      </c>
      <c r="D14" s="7" t="s">
        <v>41</v>
      </c>
      <c r="E14" s="6">
        <v>0.18</v>
      </c>
      <c r="F14" s="23">
        <v>1.5</v>
      </c>
      <c r="G14" s="27">
        <v>10.35</v>
      </c>
      <c r="H14" s="1">
        <v>-5</v>
      </c>
      <c r="I14" s="1">
        <v>2.9</v>
      </c>
      <c r="L14" s="1">
        <v>11.25</v>
      </c>
      <c r="M14" s="1">
        <v>1.6</v>
      </c>
      <c r="N14" s="1">
        <v>17.600000000000001</v>
      </c>
      <c r="P14" s="1">
        <v>0.48099999999999998</v>
      </c>
      <c r="Q14" s="118">
        <f t="shared" si="0"/>
        <v>1.0268472828887492</v>
      </c>
      <c r="R14" s="119">
        <f t="shared" si="1"/>
        <v>297.78571203773726</v>
      </c>
      <c r="S14" s="118" t="str">
        <f t="shared" si="2"/>
        <v/>
      </c>
      <c r="T14" s="118">
        <f t="shared" si="3"/>
        <v>7.4301984087564241</v>
      </c>
      <c r="U14" s="118">
        <f t="shared" si="4"/>
        <v>-6.8432275452374869</v>
      </c>
      <c r="V14" s="118" t="e">
        <f t="shared" si="5"/>
        <v>#N/A</v>
      </c>
      <c r="W14" s="118" t="e">
        <f t="shared" si="6"/>
        <v>#N/A</v>
      </c>
      <c r="X14" s="118">
        <f>IF(OR(N14="",R14=""),NA(),10*LOG10((G14+'CMOS FOM coeff. calculation'!$Q$3)^'CMOS FOM coeff. calculation'!$P$3*(1000*E14)^'CMOS FOM coeff. calculation'!$N$3*R14^'CMOS FOM coeff. calculation'!$O$3*N14^'CMOS FOM coeff. calculation'!$M$3))</f>
        <v>18.83177742374836</v>
      </c>
      <c r="Y14" s="68"/>
      <c r="Z14" t="s">
        <v>42</v>
      </c>
      <c r="AA14" s="3" t="s">
        <v>5</v>
      </c>
    </row>
    <row r="15" spans="1:28">
      <c r="A15" t="s">
        <v>1803</v>
      </c>
      <c r="B15" s="8" t="s">
        <v>1885</v>
      </c>
      <c r="C15" s="3" t="s">
        <v>1886</v>
      </c>
      <c r="D15" s="7" t="s">
        <v>1887</v>
      </c>
      <c r="E15" s="6">
        <v>0.35</v>
      </c>
      <c r="G15" s="27">
        <v>0.9</v>
      </c>
      <c r="H15" s="1">
        <v>-11.5</v>
      </c>
      <c r="I15" s="1">
        <v>2.95</v>
      </c>
      <c r="K15" s="1">
        <v>21</v>
      </c>
      <c r="L15" s="1">
        <v>11</v>
      </c>
      <c r="M15" s="1">
        <v>2.5</v>
      </c>
      <c r="N15" s="1">
        <v>22.5</v>
      </c>
      <c r="Q15" s="118">
        <f t="shared" si="0"/>
        <v>1.056330011442385</v>
      </c>
      <c r="R15" s="119">
        <f t="shared" si="1"/>
        <v>306.33570331829168</v>
      </c>
      <c r="S15" s="118" t="str">
        <f t="shared" si="2"/>
        <v/>
      </c>
      <c r="T15" s="118">
        <f t="shared" si="3"/>
        <v>11.129413926702576</v>
      </c>
      <c r="U15" s="118" t="e">
        <f t="shared" si="4"/>
        <v>#N/A</v>
      </c>
      <c r="V15" s="118" t="e">
        <f t="shared" si="5"/>
        <v>#N/A</v>
      </c>
      <c r="W15" s="118" t="e">
        <f t="shared" si="6"/>
        <v>#N/A</v>
      </c>
      <c r="X15" s="118">
        <f>IF(OR(N15="",R15=""),NA(),10*LOG10((G15+'CMOS FOM coeff. calculation'!$Q$3)^'CMOS FOM coeff. calculation'!$P$3*(1000*E15)^'CMOS FOM coeff. calculation'!$N$3*R15^'CMOS FOM coeff. calculation'!$O$3*N15^'CMOS FOM coeff. calculation'!$M$3))</f>
        <v>16.307871670464497</v>
      </c>
      <c r="Y15" s="68"/>
      <c r="Z15" t="s">
        <v>1888</v>
      </c>
      <c r="AA15" s="3" t="s">
        <v>5</v>
      </c>
    </row>
    <row r="16" spans="1:28">
      <c r="A16" t="s">
        <v>1459</v>
      </c>
      <c r="B16" s="8" t="s">
        <v>68</v>
      </c>
      <c r="C16" s="3" t="s">
        <v>69</v>
      </c>
      <c r="D16" s="7" t="s">
        <v>70</v>
      </c>
      <c r="E16" s="6">
        <v>0.18</v>
      </c>
      <c r="F16" s="23">
        <v>1</v>
      </c>
      <c r="G16" s="27">
        <v>5</v>
      </c>
      <c r="H16" s="1">
        <v>-12</v>
      </c>
      <c r="I16" s="1">
        <v>4.5</v>
      </c>
      <c r="J16" s="1">
        <v>-27</v>
      </c>
      <c r="K16" s="1">
        <v>-16</v>
      </c>
      <c r="L16" s="1">
        <v>9.1999999999999993</v>
      </c>
      <c r="M16" s="1">
        <v>0.6</v>
      </c>
      <c r="N16" s="1">
        <v>0.9</v>
      </c>
      <c r="P16" s="1">
        <v>0.94599999999999995</v>
      </c>
      <c r="Q16" s="118">
        <f t="shared" si="0"/>
        <v>2.0668760930022088</v>
      </c>
      <c r="R16" s="119">
        <f t="shared" si="1"/>
        <v>599.39406697064055</v>
      </c>
      <c r="S16" s="118">
        <f t="shared" si="2"/>
        <v>1.4600606759406717E-2</v>
      </c>
      <c r="T16" s="118">
        <f t="shared" si="3"/>
        <v>8.2705193537212729</v>
      </c>
      <c r="U16" s="118">
        <f t="shared" si="4"/>
        <v>-8.2705193537212729</v>
      </c>
      <c r="V16" s="118">
        <f t="shared" si="5"/>
        <v>-14.084233069335156</v>
      </c>
      <c r="W16" s="118">
        <f t="shared" si="6"/>
        <v>-14.084233069335156</v>
      </c>
      <c r="X16" s="118">
        <f>IF(OR(N16="",R16=""),NA(),10*LOG10((G16+'CMOS FOM coeff. calculation'!$Q$3)^'CMOS FOM coeff. calculation'!$P$3*(1000*E16)^'CMOS FOM coeff. calculation'!$N$3*R16^'CMOS FOM coeff. calculation'!$O$3*N16^'CMOS FOM coeff. calculation'!$M$3))</f>
        <v>16.545035132537926</v>
      </c>
      <c r="Y16" s="68"/>
      <c r="Z16" t="s">
        <v>71</v>
      </c>
      <c r="AA16" s="3" t="s">
        <v>5</v>
      </c>
    </row>
    <row r="17" spans="1:27">
      <c r="A17" t="s">
        <v>1467</v>
      </c>
      <c r="B17" s="8" t="s">
        <v>75</v>
      </c>
      <c r="C17" s="3" t="s">
        <v>76</v>
      </c>
      <c r="D17" s="7" t="s">
        <v>77</v>
      </c>
      <c r="E17" s="6">
        <v>0.13</v>
      </c>
      <c r="F17" s="23">
        <v>7.6</v>
      </c>
      <c r="G17" s="27">
        <v>5.8</v>
      </c>
      <c r="H17" s="1">
        <v>-8.3000000000000007</v>
      </c>
      <c r="I17" s="1">
        <v>3.6</v>
      </c>
      <c r="J17" s="1">
        <v>-16.5</v>
      </c>
      <c r="K17" s="6">
        <v>-7.2</v>
      </c>
      <c r="L17" s="1">
        <v>11</v>
      </c>
      <c r="M17" s="1">
        <v>1.5</v>
      </c>
      <c r="N17" s="1">
        <v>19</v>
      </c>
      <c r="O17" s="1">
        <v>0.05</v>
      </c>
      <c r="P17" s="1">
        <v>0.17199999999999999</v>
      </c>
      <c r="Q17" s="118">
        <f t="shared" si="0"/>
        <v>1.4022525304856015</v>
      </c>
      <c r="R17" s="119">
        <f t="shared" si="1"/>
        <v>406.65323384082444</v>
      </c>
      <c r="S17" s="118">
        <f t="shared" si="2"/>
        <v>0.25945108174076209</v>
      </c>
      <c r="T17" s="118">
        <f t="shared" si="3"/>
        <v>12.455343006039705</v>
      </c>
      <c r="U17" s="118">
        <f t="shared" si="4"/>
        <v>-9.5192976984370681</v>
      </c>
      <c r="V17" s="118">
        <f t="shared" si="5"/>
        <v>-18.262241209589277</v>
      </c>
      <c r="W17" s="118">
        <f t="shared" si="6"/>
        <v>-15.32619590198664</v>
      </c>
      <c r="X17" s="118">
        <f>IF(OR(N17="",R17=""),NA(),10*LOG10((G17+'CMOS FOM coeff. calculation'!$Q$3)^'CMOS FOM coeff. calculation'!$P$3*(1000*E17)^'CMOS FOM coeff. calculation'!$N$3*R17^'CMOS FOM coeff. calculation'!$O$3*N17^'CMOS FOM coeff. calculation'!$M$3))</f>
        <v>14.777678104794303</v>
      </c>
      <c r="Y17" s="68"/>
      <c r="Z17" t="s">
        <v>78</v>
      </c>
      <c r="AA17" s="3" t="s">
        <v>5</v>
      </c>
    </row>
    <row r="18" spans="1:27">
      <c r="A18" t="s">
        <v>1474</v>
      </c>
      <c r="B18" s="8" t="s">
        <v>79</v>
      </c>
      <c r="C18" s="3" t="s">
        <v>411</v>
      </c>
      <c r="D18" s="7" t="s">
        <v>80</v>
      </c>
      <c r="E18" s="20">
        <v>0.13</v>
      </c>
      <c r="F18" s="59">
        <v>0.8</v>
      </c>
      <c r="G18" s="27">
        <v>2.4</v>
      </c>
      <c r="H18" s="1">
        <v>-10</v>
      </c>
      <c r="I18" s="1">
        <v>3.6</v>
      </c>
      <c r="L18" s="1">
        <v>13</v>
      </c>
      <c r="M18" s="1">
        <v>1.2</v>
      </c>
      <c r="N18" s="1">
        <v>6.5</v>
      </c>
      <c r="P18" s="1">
        <v>0.79949999999999999</v>
      </c>
      <c r="Q18" s="118">
        <f t="shared" si="0"/>
        <v>1.3589778896765341</v>
      </c>
      <c r="R18" s="119">
        <f t="shared" si="1"/>
        <v>394.10358800619491</v>
      </c>
      <c r="S18" s="118" t="str">
        <f t="shared" si="2"/>
        <v/>
      </c>
      <c r="T18" s="118">
        <f t="shared" si="3"/>
        <v>13.321182122283897</v>
      </c>
      <c r="U18" s="118">
        <f t="shared" si="4"/>
        <v>-13.644215498977418</v>
      </c>
      <c r="V18" s="118" t="e">
        <f t="shared" si="5"/>
        <v>#N/A</v>
      </c>
      <c r="W18" s="118" t="e">
        <f t="shared" si="6"/>
        <v>#N/A</v>
      </c>
      <c r="X18" s="118">
        <f>IF(OR(N18="",R18=""),NA(),10*LOG10((G18+'CMOS FOM coeff. calculation'!$Q$3)^'CMOS FOM coeff. calculation'!$P$3*(1000*E18)^'CMOS FOM coeff. calculation'!$N$3*R18^'CMOS FOM coeff. calculation'!$O$3*N18^'CMOS FOM coeff. calculation'!$M$3))</f>
        <v>14.213445014494024</v>
      </c>
      <c r="Y18" s="68"/>
      <c r="Z18" t="s">
        <v>81</v>
      </c>
      <c r="AA18" s="3" t="s">
        <v>5</v>
      </c>
    </row>
    <row r="19" spans="1:27">
      <c r="A19" t="s">
        <v>1483</v>
      </c>
      <c r="B19" s="14" t="s">
        <v>82</v>
      </c>
      <c r="C19" s="3" t="s">
        <v>83</v>
      </c>
      <c r="D19" s="7" t="s">
        <v>84</v>
      </c>
      <c r="E19" s="40">
        <v>0.18</v>
      </c>
      <c r="F19" s="58">
        <v>0.5</v>
      </c>
      <c r="G19" s="58">
        <v>2.4</v>
      </c>
      <c r="H19" s="1">
        <v>-19</v>
      </c>
      <c r="I19" s="1">
        <v>5.2</v>
      </c>
      <c r="J19" s="1">
        <v>-15</v>
      </c>
      <c r="K19" s="1">
        <v>-11</v>
      </c>
      <c r="L19" s="1">
        <v>21.4</v>
      </c>
      <c r="O19" s="1">
        <v>0.18</v>
      </c>
      <c r="P19" s="1">
        <v>0.71679999999999999</v>
      </c>
      <c r="Q19" s="118">
        <f t="shared" si="0"/>
        <v>2.3281773689005547</v>
      </c>
      <c r="R19" s="119">
        <f t="shared" si="1"/>
        <v>675.17143698116092</v>
      </c>
      <c r="S19" s="118">
        <f t="shared" si="2"/>
        <v>4.3335355457999745</v>
      </c>
      <c r="T19" s="118" t="e">
        <f t="shared" si="3"/>
        <v>#N/A</v>
      </c>
      <c r="U19" s="118" t="e">
        <f t="shared" si="4"/>
        <v>#N/A</v>
      </c>
      <c r="V19" s="118" t="e">
        <f t="shared" si="5"/>
        <v>#N/A</v>
      </c>
      <c r="W19" s="118" t="e">
        <f t="shared" si="6"/>
        <v>#N/A</v>
      </c>
      <c r="X19" s="118" t="e">
        <f>IF(OR(N19="",R19=""),NA(),10*LOG10((G19+'CMOS FOM coeff. calculation'!$Q$3)^'CMOS FOM coeff. calculation'!$P$3*(1000*E19)^'CMOS FOM coeff. calculation'!$N$3*R19^'CMOS FOM coeff. calculation'!$O$3*N19^'CMOS FOM coeff. calculation'!$M$3))</f>
        <v>#N/A</v>
      </c>
      <c r="Y19" s="68"/>
      <c r="Z19" t="s">
        <v>85</v>
      </c>
      <c r="AA19" s="3" t="s">
        <v>5</v>
      </c>
    </row>
    <row r="20" spans="1:27">
      <c r="A20" t="s">
        <v>1804</v>
      </c>
      <c r="B20" s="8" t="s">
        <v>86</v>
      </c>
      <c r="C20" s="3" t="s">
        <v>412</v>
      </c>
      <c r="D20" s="7" t="s">
        <v>87</v>
      </c>
      <c r="E20" s="40">
        <v>0.09</v>
      </c>
      <c r="F20" s="21">
        <v>4.5</v>
      </c>
      <c r="G20" s="21">
        <v>2.75</v>
      </c>
      <c r="H20" s="6">
        <v>-10</v>
      </c>
      <c r="I20" s="1">
        <v>2.2999999999999998</v>
      </c>
      <c r="K20" s="6">
        <v>-2.2999999999999998</v>
      </c>
      <c r="L20" s="1">
        <v>22</v>
      </c>
      <c r="N20" s="1">
        <v>12</v>
      </c>
      <c r="O20" s="1">
        <v>1.2E-2</v>
      </c>
      <c r="Q20" s="118">
        <f t="shared" si="0"/>
        <v>0.70267724615434635</v>
      </c>
      <c r="R20" s="119">
        <f t="shared" si="1"/>
        <v>203.77640138476045</v>
      </c>
      <c r="S20" s="118" t="str">
        <f t="shared" si="2"/>
        <v/>
      </c>
      <c r="T20" s="118">
        <f t="shared" si="3"/>
        <v>13.079378308047822</v>
      </c>
      <c r="U20" s="118">
        <f t="shared" si="4"/>
        <v>-10.902003262130009</v>
      </c>
      <c r="V20" s="118" t="e">
        <f t="shared" si="5"/>
        <v>#N/A</v>
      </c>
      <c r="W20" s="118" t="e">
        <f t="shared" si="6"/>
        <v>#N/A</v>
      </c>
      <c r="X20" s="118">
        <f>IF(OR(N20="",R20=""),NA(),10*LOG10((G20+'CMOS FOM coeff. calculation'!$Q$3)^'CMOS FOM coeff. calculation'!$P$3*(1000*E20)^'CMOS FOM coeff. calculation'!$N$3*R20^'CMOS FOM coeff. calculation'!$O$3*N20^'CMOS FOM coeff. calculation'!$M$3))</f>
        <v>15.322344128317795</v>
      </c>
      <c r="Y20" s="68"/>
      <c r="Z20" t="s">
        <v>88</v>
      </c>
      <c r="AA20" s="3" t="s">
        <v>35</v>
      </c>
    </row>
    <row r="21" spans="1:27" ht="14.25" customHeight="1">
      <c r="E21" s="1">
        <v>0.09</v>
      </c>
      <c r="F21" s="22">
        <v>2</v>
      </c>
      <c r="G21" s="22">
        <v>6</v>
      </c>
      <c r="H21" s="1">
        <v>-10</v>
      </c>
      <c r="I21" s="1">
        <v>2</v>
      </c>
      <c r="J21" s="1">
        <v>-7.2</v>
      </c>
      <c r="K21" s="6">
        <v>-2.6</v>
      </c>
      <c r="L21" s="1">
        <v>24.4</v>
      </c>
      <c r="M21" s="1">
        <v>1.2</v>
      </c>
      <c r="N21" s="1">
        <v>9.1999999999999993</v>
      </c>
      <c r="O21" s="1">
        <v>2.1999999999999999E-2</v>
      </c>
      <c r="Q21" s="118">
        <f t="shared" si="0"/>
        <v>0.58702454977746865</v>
      </c>
      <c r="R21" s="119">
        <f t="shared" si="1"/>
        <v>170.2371194354659</v>
      </c>
      <c r="S21" s="118">
        <f t="shared" si="2"/>
        <v>52.290199953180966</v>
      </c>
      <c r="T21" s="118">
        <f t="shared" si="3"/>
        <v>9.6549469373354917</v>
      </c>
      <c r="U21" s="118">
        <f t="shared" si="4"/>
        <v>-8.6515136184555548</v>
      </c>
      <c r="V21" s="118">
        <f t="shared" si="5"/>
        <v>-6.2474845527732628</v>
      </c>
      <c r="W21" s="118">
        <f t="shared" si="6"/>
        <v>-5.2440512338933249</v>
      </c>
      <c r="X21" s="118">
        <f>IF(OR(N21="",R21=""),NA(),10*LOG10((G21+'CMOS FOM coeff. calculation'!$Q$3)^'CMOS FOM coeff. calculation'!$P$3*(1000*E21)^'CMOS FOM coeff. calculation'!$N$3*R21^'CMOS FOM coeff. calculation'!$O$3*N21^'CMOS FOM coeff. calculation'!$M$3))</f>
        <v>17.779660942086998</v>
      </c>
      <c r="Y21" s="68"/>
    </row>
    <row r="22" spans="1:27">
      <c r="A22" t="s">
        <v>1805</v>
      </c>
      <c r="B22" s="8" t="s">
        <v>90</v>
      </c>
      <c r="C22" s="3" t="s">
        <v>91</v>
      </c>
      <c r="D22" s="7" t="s">
        <v>92</v>
      </c>
      <c r="E22" s="6">
        <v>0.09</v>
      </c>
      <c r="F22" s="1">
        <v>8.8000000000000007</v>
      </c>
      <c r="G22" s="1">
        <v>4.5999999999999996</v>
      </c>
      <c r="H22" s="23">
        <v>-10</v>
      </c>
      <c r="I22" s="1">
        <v>4.2</v>
      </c>
      <c r="K22" s="1">
        <v>-8</v>
      </c>
      <c r="L22" s="1">
        <v>10</v>
      </c>
      <c r="M22" s="1">
        <v>1.2</v>
      </c>
      <c r="N22" s="1">
        <v>20</v>
      </c>
      <c r="O22" s="1">
        <v>6.6000000000000003E-2</v>
      </c>
      <c r="P22" s="1">
        <v>0.12759999999999999</v>
      </c>
      <c r="Q22" s="118">
        <f t="shared" si="0"/>
        <v>1.8114088798837586</v>
      </c>
      <c r="R22" s="119">
        <f t="shared" si="1"/>
        <v>525.30857516628998</v>
      </c>
      <c r="S22" s="118" t="str">
        <f t="shared" si="2"/>
        <v/>
      </c>
      <c r="T22" s="118">
        <f t="shared" si="3"/>
        <v>16.441979239237167</v>
      </c>
      <c r="U22" s="118">
        <f t="shared" si="4"/>
        <v>-13.293703665403271</v>
      </c>
      <c r="V22" s="118" t="e">
        <f t="shared" si="5"/>
        <v>#N/A</v>
      </c>
      <c r="W22" s="118" t="e">
        <f t="shared" si="6"/>
        <v>#N/A</v>
      </c>
      <c r="X22" s="118">
        <f>IF(OR(N22="",R22=""),NA(),10*LOG10((G22+'CMOS FOM coeff. calculation'!$Q$3)^'CMOS FOM coeff. calculation'!$P$3*(1000*E22)^'CMOS FOM coeff. calculation'!$N$3*R22^'CMOS FOM coeff. calculation'!$O$3*N22^'CMOS FOM coeff. calculation'!$M$3))</f>
        <v>12.077064147247453</v>
      </c>
      <c r="Y22" s="68"/>
      <c r="Z22" t="s">
        <v>89</v>
      </c>
      <c r="AA22" s="3" t="s">
        <v>5</v>
      </c>
    </row>
    <row r="23" spans="1:27">
      <c r="E23" s="23">
        <v>0.09</v>
      </c>
      <c r="F23" s="1">
        <v>3</v>
      </c>
      <c r="G23" s="1">
        <v>1.7</v>
      </c>
      <c r="H23" s="1">
        <v>-10</v>
      </c>
      <c r="I23" s="1">
        <v>1.76</v>
      </c>
      <c r="K23" s="1">
        <v>-9</v>
      </c>
      <c r="L23" s="1">
        <v>15.5</v>
      </c>
      <c r="M23" s="1">
        <v>1.2</v>
      </c>
      <c r="N23" s="1">
        <v>25</v>
      </c>
      <c r="O23" s="1">
        <v>0.13400000000000001</v>
      </c>
      <c r="P23" s="1">
        <v>0.23519999999999999</v>
      </c>
      <c r="Q23" s="118">
        <f t="shared" si="0"/>
        <v>0.51417629236293894</v>
      </c>
      <c r="R23" s="119">
        <f t="shared" si="1"/>
        <v>149.11112478525229</v>
      </c>
      <c r="S23" s="118" t="str">
        <f t="shared" si="2"/>
        <v/>
      </c>
      <c r="T23" s="118">
        <f t="shared" si="3"/>
        <v>14.178027577074579</v>
      </c>
      <c r="U23" s="118">
        <f t="shared" si="4"/>
        <v>-12.587623394675704</v>
      </c>
      <c r="V23" s="118" t="e">
        <f t="shared" si="5"/>
        <v>#N/A</v>
      </c>
      <c r="W23" s="118" t="e">
        <f t="shared" si="6"/>
        <v>#N/A</v>
      </c>
      <c r="X23" s="118">
        <f>IF(OR(N23="",R23=""),NA(),10*LOG10((G23+'CMOS FOM coeff. calculation'!$Q$3)^'CMOS FOM coeff. calculation'!$P$3*(1000*E23)^'CMOS FOM coeff. calculation'!$N$3*R23^'CMOS FOM coeff. calculation'!$O$3*N23^'CMOS FOM coeff. calculation'!$M$3))</f>
        <v>15.350169619157072</v>
      </c>
      <c r="Y23" s="68"/>
    </row>
    <row r="24" spans="1:27">
      <c r="A24" t="s">
        <v>1805</v>
      </c>
      <c r="B24" s="8" t="s">
        <v>94</v>
      </c>
      <c r="C24" s="3" t="s">
        <v>95</v>
      </c>
      <c r="D24" s="7" t="s">
        <v>96</v>
      </c>
      <c r="E24" s="6">
        <v>0.18</v>
      </c>
      <c r="F24" s="1">
        <v>0.5</v>
      </c>
      <c r="G24" s="1">
        <v>5.25</v>
      </c>
      <c r="H24" s="1">
        <v>-10</v>
      </c>
      <c r="I24" s="1">
        <v>3.37</v>
      </c>
      <c r="J24" s="1">
        <v>-18</v>
      </c>
      <c r="K24" s="1">
        <v>-8.6</v>
      </c>
      <c r="L24" s="1">
        <v>10</v>
      </c>
      <c r="M24" s="1">
        <v>0.6</v>
      </c>
      <c r="N24" s="1">
        <v>1.08</v>
      </c>
      <c r="P24" s="1">
        <v>0.70550000000000002</v>
      </c>
      <c r="Q24" s="118">
        <f t="shared" si="0"/>
        <v>1.3030013098486053</v>
      </c>
      <c r="R24" s="119">
        <f t="shared" si="1"/>
        <v>377.87037985609555</v>
      </c>
      <c r="S24" s="118">
        <f t="shared" si="2"/>
        <v>0.14264038732150011</v>
      </c>
      <c r="T24" s="118">
        <f t="shared" si="3"/>
        <v>6.3894989504344855</v>
      </c>
      <c r="U24" s="118">
        <f t="shared" si="4"/>
        <v>-7.3929322693144224</v>
      </c>
      <c r="V24" s="118">
        <f t="shared" si="5"/>
        <v>-9.2382091322907804</v>
      </c>
      <c r="W24" s="118">
        <f t="shared" si="6"/>
        <v>-10.241642451170717</v>
      </c>
      <c r="X24" s="118">
        <f>IF(OR(N24="",R24=""),NA(),10*LOG10((G24+'CMOS FOM coeff. calculation'!$Q$3)^'CMOS FOM coeff. calculation'!$P$3*(1000*E24)^'CMOS FOM coeff. calculation'!$N$3*R24^'CMOS FOM coeff. calculation'!$O$3*N24^'CMOS FOM coeff. calculation'!$M$3))</f>
        <v>18.302366486287561</v>
      </c>
      <c r="Y24" s="68"/>
      <c r="Z24" t="s">
        <v>93</v>
      </c>
      <c r="AA24" s="3" t="s">
        <v>35</v>
      </c>
    </row>
    <row r="25" spans="1:27">
      <c r="D25" s="11"/>
      <c r="E25" s="1">
        <v>0.18</v>
      </c>
      <c r="F25" s="1">
        <v>0.3</v>
      </c>
      <c r="G25" s="1">
        <v>5.05</v>
      </c>
      <c r="H25" s="1">
        <v>-10</v>
      </c>
      <c r="I25" s="1">
        <v>3.65</v>
      </c>
      <c r="J25" s="1">
        <v>-25</v>
      </c>
      <c r="K25" s="1">
        <v>-17.100000000000001</v>
      </c>
      <c r="L25" s="1">
        <v>14.1</v>
      </c>
      <c r="M25" s="1">
        <v>0.6</v>
      </c>
      <c r="N25" s="1">
        <v>1.68</v>
      </c>
      <c r="P25" s="1">
        <v>0.77600000000000002</v>
      </c>
      <c r="Q25" s="118">
        <f t="shared" si="0"/>
        <v>1.3707219208113683</v>
      </c>
      <c r="R25" s="119">
        <f t="shared" si="1"/>
        <v>397.50935703529683</v>
      </c>
      <c r="S25" s="118">
        <f t="shared" si="2"/>
        <v>7.8120773956241507E-2</v>
      </c>
      <c r="T25" s="118">
        <f t="shared" si="3"/>
        <v>7.3616152649843167</v>
      </c>
      <c r="U25" s="118">
        <f t="shared" si="4"/>
        <v>-9.1045444159187756</v>
      </c>
      <c r="V25" s="118">
        <f t="shared" si="5"/>
        <v>-11.66530402391404</v>
      </c>
      <c r="W25" s="118">
        <f t="shared" si="6"/>
        <v>-13.408233174848498</v>
      </c>
      <c r="X25" s="118">
        <f>IF(OR(N25="",R25=""),NA(),10*LOG10((G25+'CMOS FOM coeff. calculation'!$Q$3)^'CMOS FOM coeff. calculation'!$P$3*(1000*E25)^'CMOS FOM coeff. calculation'!$N$3*R25^'CMOS FOM coeff. calculation'!$O$3*N25^'CMOS FOM coeff. calculation'!$M$3))</f>
        <v>17.630777444811262</v>
      </c>
      <c r="Y25" s="68"/>
      <c r="Z25" s="3" t="s">
        <v>5</v>
      </c>
    </row>
    <row r="26" spans="1:27">
      <c r="A26" t="s">
        <v>1806</v>
      </c>
      <c r="B26" s="8" t="s">
        <v>105</v>
      </c>
      <c r="C26" s="3" t="s">
        <v>106</v>
      </c>
      <c r="D26" s="7" t="s">
        <v>107</v>
      </c>
      <c r="E26" s="6">
        <v>0.13</v>
      </c>
      <c r="F26" s="1">
        <v>3</v>
      </c>
      <c r="G26" s="1">
        <v>4.9000000000000004</v>
      </c>
      <c r="H26" s="1">
        <v>-12</v>
      </c>
      <c r="I26" s="1">
        <v>2.2000000000000002</v>
      </c>
      <c r="K26" s="6">
        <v>-16</v>
      </c>
      <c r="L26" s="1">
        <v>24</v>
      </c>
      <c r="M26" s="1">
        <v>1</v>
      </c>
      <c r="N26" s="1">
        <v>4.5999999999999996</v>
      </c>
      <c r="O26" s="1">
        <v>0.49</v>
      </c>
      <c r="Q26" s="118">
        <f t="shared" si="0"/>
        <v>0.66222326574355961</v>
      </c>
      <c r="R26" s="119">
        <f t="shared" si="1"/>
        <v>192.04474706563229</v>
      </c>
      <c r="S26" s="118" t="str">
        <f t="shared" si="2"/>
        <v/>
      </c>
      <c r="T26" s="118">
        <f t="shared" si="3"/>
        <v>7.6320185545514816</v>
      </c>
      <c r="U26" s="118">
        <f t="shared" si="4"/>
        <v>-6.0416143721526065</v>
      </c>
      <c r="V26" s="118" t="e">
        <f t="shared" si="5"/>
        <v>#N/A</v>
      </c>
      <c r="W26" s="118" t="e">
        <f t="shared" si="6"/>
        <v>#N/A</v>
      </c>
      <c r="X26" s="118">
        <f>IF(OR(N26="",R26=""),NA(),10*LOG10((G26+'CMOS FOM coeff. calculation'!$Q$3)^'CMOS FOM coeff. calculation'!$P$3*(1000*E26)^'CMOS FOM coeff. calculation'!$N$3*R26^'CMOS FOM coeff. calculation'!$O$3*N26^'CMOS FOM coeff. calculation'!$M$3))</f>
        <v>18.542133254743916</v>
      </c>
      <c r="Y26" s="68"/>
      <c r="Z26" t="s">
        <v>108</v>
      </c>
      <c r="AA26" s="3" t="s">
        <v>5</v>
      </c>
    </row>
    <row r="27" spans="1:27">
      <c r="A27" t="s">
        <v>1503</v>
      </c>
      <c r="B27" s="8" t="s">
        <v>109</v>
      </c>
      <c r="C27" s="3" t="s">
        <v>110</v>
      </c>
      <c r="D27" s="7" t="s">
        <v>111</v>
      </c>
      <c r="E27" s="6">
        <v>0.13</v>
      </c>
      <c r="F27" s="1">
        <v>7</v>
      </c>
      <c r="G27" s="1">
        <v>58.5</v>
      </c>
      <c r="H27" s="1">
        <v>-10</v>
      </c>
      <c r="I27" s="1">
        <v>8.6</v>
      </c>
      <c r="J27" s="1">
        <v>-20</v>
      </c>
      <c r="K27" s="1">
        <v>-12</v>
      </c>
      <c r="L27" s="1">
        <v>20.399999999999999</v>
      </c>
      <c r="M27" s="1">
        <v>2.4</v>
      </c>
      <c r="N27" s="1">
        <v>65</v>
      </c>
      <c r="P27" s="1">
        <v>0.71499999999999997</v>
      </c>
      <c r="Q27" s="118">
        <f t="shared" si="0"/>
        <v>6.3018330007952628</v>
      </c>
      <c r="R27" s="119">
        <f t="shared" si="1"/>
        <v>1827.5315702306261</v>
      </c>
      <c r="S27" s="118">
        <f t="shared" si="2"/>
        <v>1.0864781961431862</v>
      </c>
      <c r="T27" s="118">
        <f t="shared" si="3"/>
        <v>14.070762952269845</v>
      </c>
      <c r="U27" s="118">
        <f t="shared" si="4"/>
        <v>-11.253769485555656</v>
      </c>
      <c r="V27" s="118">
        <f t="shared" si="5"/>
        <v>-22.93073481851777</v>
      </c>
      <c r="W27" s="118">
        <f t="shared" si="6"/>
        <v>-20.113741351803583</v>
      </c>
      <c r="X27" s="118">
        <f>IF(OR(N27="",R27=""),NA(),10*LOG10((G27+'CMOS FOM coeff. calculation'!$Q$3)^'CMOS FOM coeff. calculation'!$P$3*(1000*E27)^'CMOS FOM coeff. calculation'!$N$3*R27^'CMOS FOM coeff. calculation'!$O$3*N27^'CMOS FOM coeff. calculation'!$M$3))</f>
        <v>19.045680977662876</v>
      </c>
      <c r="Y27" s="68"/>
      <c r="Z27" t="s">
        <v>2088</v>
      </c>
      <c r="AA27" s="3" t="s">
        <v>5</v>
      </c>
    </row>
    <row r="28" spans="1:27">
      <c r="A28" t="s">
        <v>1518</v>
      </c>
      <c r="B28" s="26" t="s">
        <v>116</v>
      </c>
      <c r="C28" s="3" t="s">
        <v>117</v>
      </c>
      <c r="D28" s="7" t="s">
        <v>118</v>
      </c>
      <c r="E28" s="6">
        <v>0.13</v>
      </c>
      <c r="F28" s="1">
        <v>0.5</v>
      </c>
      <c r="G28" s="1">
        <v>2.15</v>
      </c>
      <c r="H28" s="1">
        <v>-13</v>
      </c>
      <c r="I28" s="1">
        <v>3.2</v>
      </c>
      <c r="K28" s="6">
        <v>-6.7</v>
      </c>
      <c r="L28" s="1">
        <v>14</v>
      </c>
      <c r="M28" s="1">
        <v>1.2</v>
      </c>
      <c r="N28" s="1">
        <v>16.8</v>
      </c>
      <c r="O28" s="1">
        <v>8.3000000000000004E-2</v>
      </c>
      <c r="P28" s="1">
        <v>0.52</v>
      </c>
      <c r="Q28" s="118">
        <f t="shared" si="0"/>
        <v>1.1344597885048793</v>
      </c>
      <c r="R28" s="119">
        <f t="shared" si="1"/>
        <v>328.99333866641501</v>
      </c>
      <c r="S28" s="118" t="str">
        <f t="shared" si="2"/>
        <v/>
      </c>
      <c r="T28" s="118">
        <f t="shared" si="3"/>
        <v>14.230087575975487</v>
      </c>
      <c r="U28" s="118">
        <f t="shared" si="4"/>
        <v>-15.233520894855424</v>
      </c>
      <c r="V28" s="118" t="e">
        <f t="shared" si="5"/>
        <v>#N/A</v>
      </c>
      <c r="W28" s="118" t="e">
        <f t="shared" si="6"/>
        <v>#N/A</v>
      </c>
      <c r="X28" s="118">
        <f>IF(OR(N28="",R28=""),NA(),10*LOG10((G28+'CMOS FOM coeff. calculation'!$Q$3)^'CMOS FOM coeff. calculation'!$P$3*(1000*E28)^'CMOS FOM coeff. calculation'!$N$3*R28^'CMOS FOM coeff. calculation'!$O$3*N28^'CMOS FOM coeff. calculation'!$M$3))</f>
        <v>13.962656101155599</v>
      </c>
      <c r="Y28" s="68"/>
      <c r="Z28" t="s">
        <v>119</v>
      </c>
      <c r="AA28" s="3" t="s">
        <v>5</v>
      </c>
    </row>
    <row r="29" spans="1:27">
      <c r="A29" t="s">
        <v>1518</v>
      </c>
      <c r="B29" s="8" t="s">
        <v>120</v>
      </c>
      <c r="C29" s="3" t="s">
        <v>121</v>
      </c>
      <c r="D29" s="7" t="s">
        <v>122</v>
      </c>
      <c r="E29" s="6">
        <v>0.13</v>
      </c>
      <c r="F29" s="1">
        <v>0.5</v>
      </c>
      <c r="G29" s="1">
        <v>5</v>
      </c>
      <c r="H29" s="1">
        <v>-18.7</v>
      </c>
      <c r="I29" s="1">
        <v>2.4300000000000002</v>
      </c>
      <c r="K29" s="1">
        <v>-12.5</v>
      </c>
      <c r="L29" s="1">
        <v>17.899999999999999</v>
      </c>
      <c r="M29" s="1">
        <v>1.2</v>
      </c>
      <c r="N29" s="1">
        <v>10.3</v>
      </c>
      <c r="P29" s="1">
        <v>0.8175</v>
      </c>
      <c r="Q29" s="118">
        <f t="shared" si="0"/>
        <v>0.76220825913419943</v>
      </c>
      <c r="R29" s="119">
        <f t="shared" si="1"/>
        <v>221.04039514891784</v>
      </c>
      <c r="S29" s="118" t="str">
        <f t="shared" si="2"/>
        <v/>
      </c>
      <c r="T29" s="118">
        <f t="shared" si="3"/>
        <v>9.351149193238836</v>
      </c>
      <c r="U29" s="118">
        <f t="shared" si="4"/>
        <v>-10.354582512118773</v>
      </c>
      <c r="V29" s="118" t="e">
        <f t="shared" si="5"/>
        <v>#N/A</v>
      </c>
      <c r="W29" s="118" t="e">
        <f t="shared" si="6"/>
        <v>#N/A</v>
      </c>
      <c r="X29" s="118">
        <f>IF(OR(N29="",R29=""),NA(),10*LOG10((G29+'CMOS FOM coeff. calculation'!$Q$3)^'CMOS FOM coeff. calculation'!$P$3*(1000*E29)^'CMOS FOM coeff. calculation'!$N$3*R29^'CMOS FOM coeff. calculation'!$O$3*N29^'CMOS FOM coeff. calculation'!$M$3))</f>
        <v>17.337708756220309</v>
      </c>
      <c r="Y29" s="68"/>
      <c r="Z29" t="s">
        <v>123</v>
      </c>
      <c r="AA29" s="3" t="s">
        <v>5</v>
      </c>
    </row>
    <row r="30" spans="1:27">
      <c r="E30" s="1">
        <v>0.13</v>
      </c>
      <c r="F30" s="1">
        <v>0.5</v>
      </c>
      <c r="G30" s="1">
        <v>5</v>
      </c>
      <c r="H30" s="1">
        <v>-24.8</v>
      </c>
      <c r="I30" s="1">
        <v>2.54</v>
      </c>
      <c r="K30" s="1">
        <v>-12.5</v>
      </c>
      <c r="L30" s="1">
        <v>17.899999999999999</v>
      </c>
      <c r="M30" s="1">
        <v>1.2</v>
      </c>
      <c r="N30" s="1">
        <v>10.3</v>
      </c>
      <c r="P30" s="1">
        <v>0.8175</v>
      </c>
      <c r="Q30" s="118">
        <f t="shared" si="0"/>
        <v>0.80783517934109828</v>
      </c>
      <c r="R30" s="119">
        <f t="shared" si="1"/>
        <v>234.2722020089185</v>
      </c>
      <c r="S30" s="118" t="str">
        <f t="shared" si="2"/>
        <v/>
      </c>
      <c r="T30" s="118">
        <f t="shared" si="3"/>
        <v>9.6036403069451826</v>
      </c>
      <c r="U30" s="118">
        <f t="shared" si="4"/>
        <v>-10.607073625825119</v>
      </c>
      <c r="V30" s="118" t="e">
        <f t="shared" si="5"/>
        <v>#N/A</v>
      </c>
      <c r="W30" s="118" t="e">
        <f t="shared" si="6"/>
        <v>#N/A</v>
      </c>
      <c r="X30" s="118">
        <f>IF(OR(N30="",R30=""),NA(),10*LOG10((G30+'CMOS FOM coeff. calculation'!$Q$3)^'CMOS FOM coeff. calculation'!$P$3*(1000*E30)^'CMOS FOM coeff. calculation'!$N$3*R30^'CMOS FOM coeff. calculation'!$O$3*N30^'CMOS FOM coeff. calculation'!$M$3))</f>
        <v>17.110466753884598</v>
      </c>
      <c r="Y30" s="68"/>
    </row>
    <row r="31" spans="1:27">
      <c r="A31" t="s">
        <v>1807</v>
      </c>
      <c r="B31" s="8" t="s">
        <v>124</v>
      </c>
      <c r="C31" s="3" t="s">
        <v>69</v>
      </c>
      <c r="D31" s="7" t="s">
        <v>125</v>
      </c>
      <c r="E31" s="6">
        <v>0.18</v>
      </c>
      <c r="F31" s="21">
        <v>4</v>
      </c>
      <c r="G31" s="21">
        <v>40</v>
      </c>
      <c r="H31" s="1">
        <v>-10</v>
      </c>
      <c r="I31" s="1">
        <v>7.5</v>
      </c>
      <c r="J31" s="1">
        <v>-16</v>
      </c>
      <c r="K31" s="1">
        <v>-8</v>
      </c>
      <c r="L31" s="1">
        <v>15</v>
      </c>
      <c r="M31" s="1">
        <v>1.8</v>
      </c>
      <c r="N31" s="1">
        <v>36</v>
      </c>
      <c r="P31" s="1">
        <v>0.66639999999999999</v>
      </c>
      <c r="Q31" s="118">
        <f t="shared" si="0"/>
        <v>4.7743928091148149</v>
      </c>
      <c r="R31" s="119">
        <f t="shared" si="1"/>
        <v>1384.5739146432963</v>
      </c>
      <c r="S31" s="118">
        <f t="shared" si="2"/>
        <v>0.76920937040918536</v>
      </c>
      <c r="T31" s="118">
        <f t="shared" si="3"/>
        <v>11.226156465831805</v>
      </c>
      <c r="U31" s="118">
        <f t="shared" si="4"/>
        <v>-9.2192898280719309</v>
      </c>
      <c r="V31" s="118">
        <f t="shared" si="5"/>
        <v>-19.651457902767177</v>
      </c>
      <c r="W31" s="118">
        <f t="shared" si="6"/>
        <v>-17.644591265007303</v>
      </c>
      <c r="X31" s="118">
        <f>IF(OR(N31="",R31=""),NA(),10*LOG10((G31+'CMOS FOM coeff. calculation'!$Q$3)^'CMOS FOM coeff. calculation'!$P$3*(1000*E31)^'CMOS FOM coeff. calculation'!$N$3*R31^'CMOS FOM coeff. calculation'!$O$3*N31^'CMOS FOM coeff. calculation'!$M$3))</f>
        <v>19.082442957711489</v>
      </c>
      <c r="Y31" s="68"/>
      <c r="Z31" t="s">
        <v>126</v>
      </c>
      <c r="AA31" s="3" t="s">
        <v>5</v>
      </c>
    </row>
    <row r="32" spans="1:27">
      <c r="A32" t="s">
        <v>1807</v>
      </c>
      <c r="B32" s="8" t="s">
        <v>127</v>
      </c>
      <c r="C32" s="3" t="s">
        <v>128</v>
      </c>
      <c r="D32" s="7" t="s">
        <v>129</v>
      </c>
      <c r="E32" s="6">
        <v>0.18</v>
      </c>
      <c r="F32" s="1">
        <v>7</v>
      </c>
      <c r="G32" s="1">
        <v>25.5</v>
      </c>
      <c r="H32" s="1">
        <v>-15</v>
      </c>
      <c r="I32" s="1">
        <v>4.5</v>
      </c>
      <c r="J32" s="1">
        <v>-7.2</v>
      </c>
      <c r="L32" s="1">
        <v>18</v>
      </c>
      <c r="M32" s="1">
        <v>1.8</v>
      </c>
      <c r="N32" s="1">
        <v>14.94</v>
      </c>
      <c r="Q32" s="118">
        <f t="shared" si="0"/>
        <v>1.8476664713888831</v>
      </c>
      <c r="R32" s="119">
        <f t="shared" si="1"/>
        <v>535.82327670277607</v>
      </c>
      <c r="S32" s="118">
        <f t="shared" si="2"/>
        <v>11.832098274377811</v>
      </c>
      <c r="T32" s="118">
        <f t="shared" si="3"/>
        <v>7.1335031670545623</v>
      </c>
      <c r="U32" s="118">
        <f t="shared" si="4"/>
        <v>-4.3165097003403741</v>
      </c>
      <c r="V32" s="118">
        <f t="shared" si="5"/>
        <v>-9.6771748833015305</v>
      </c>
      <c r="W32" s="118">
        <f t="shared" si="6"/>
        <v>-6.8601814165873414</v>
      </c>
      <c r="X32" s="118">
        <f>IF(OR(N32="",R32=""),NA(),10*LOG10((G32+'CMOS FOM coeff. calculation'!$Q$3)^'CMOS FOM coeff. calculation'!$P$3*(1000*E32)^'CMOS FOM coeff. calculation'!$N$3*R32^'CMOS FOM coeff. calculation'!$O$3*N32^'CMOS FOM coeff. calculation'!$M$3))</f>
        <v>20.85282229318171</v>
      </c>
      <c r="Y32" s="68"/>
      <c r="Z32" t="s">
        <v>130</v>
      </c>
      <c r="AA32" s="3" t="s">
        <v>5</v>
      </c>
    </row>
    <row r="33" spans="1:27">
      <c r="A33" t="s">
        <v>1808</v>
      </c>
      <c r="B33" s="8" t="s">
        <v>134</v>
      </c>
      <c r="C33" s="3" t="s">
        <v>131</v>
      </c>
      <c r="D33" s="7" t="s">
        <v>132</v>
      </c>
      <c r="E33" s="6">
        <v>0.13</v>
      </c>
      <c r="F33" s="1">
        <v>3.5</v>
      </c>
      <c r="G33" s="1">
        <v>15.25</v>
      </c>
      <c r="H33" s="1">
        <v>-11</v>
      </c>
      <c r="I33" s="1">
        <v>4.3</v>
      </c>
      <c r="J33" s="1">
        <v>-14.8</v>
      </c>
      <c r="K33" s="1">
        <v>-5</v>
      </c>
      <c r="L33" s="1">
        <v>10.3</v>
      </c>
      <c r="M33" s="1">
        <v>1.3</v>
      </c>
      <c r="N33" s="1">
        <v>5.85</v>
      </c>
      <c r="P33" s="1">
        <v>0.6</v>
      </c>
      <c r="Q33" s="118">
        <f t="shared" si="0"/>
        <v>1.8656471241667298</v>
      </c>
      <c r="R33" s="119">
        <f t="shared" si="1"/>
        <v>541.03766600835161</v>
      </c>
      <c r="S33" s="118">
        <f t="shared" si="2"/>
        <v>0.32170027708531646</v>
      </c>
      <c r="T33" s="118">
        <f t="shared" si="3"/>
        <v>9.1911042617504677</v>
      </c>
      <c r="U33" s="118">
        <f t="shared" si="4"/>
        <v>-7.3775441139162155</v>
      </c>
      <c r="V33" s="118">
        <f t="shared" si="5"/>
        <v>-14.38082968543474</v>
      </c>
      <c r="W33" s="118">
        <f t="shared" si="6"/>
        <v>-12.567269537600488</v>
      </c>
      <c r="X33" s="118">
        <f>IF(OR(N33="",R33=""),NA(),10*LOG10((G33+'CMOS FOM coeff. calculation'!$Q$3)^'CMOS FOM coeff. calculation'!$P$3*(1000*E33)^'CMOS FOM coeff. calculation'!$N$3*R33^'CMOS FOM coeff. calculation'!$O$3*N33^'CMOS FOM coeff. calculation'!$M$3))</f>
        <v>18.04595020824755</v>
      </c>
      <c r="Y33" s="68"/>
      <c r="Z33" t="s">
        <v>133</v>
      </c>
      <c r="AA33" s="3" t="s">
        <v>5</v>
      </c>
    </row>
    <row r="34" spans="1:27">
      <c r="A34" t="s">
        <v>1530</v>
      </c>
      <c r="B34" s="8" t="s">
        <v>135</v>
      </c>
      <c r="C34" s="3" t="s">
        <v>136</v>
      </c>
      <c r="D34" s="7" t="s">
        <v>137</v>
      </c>
      <c r="E34" s="6">
        <v>0.18</v>
      </c>
      <c r="F34" s="1">
        <v>0.95199999999999996</v>
      </c>
      <c r="G34" s="1">
        <v>0.52400000000000002</v>
      </c>
      <c r="H34" s="1">
        <v>-9</v>
      </c>
      <c r="I34" s="1">
        <v>2.4</v>
      </c>
      <c r="J34" s="1">
        <v>-15</v>
      </c>
      <c r="K34" s="1">
        <v>-1</v>
      </c>
      <c r="L34" s="1">
        <v>16</v>
      </c>
      <c r="M34" s="1">
        <v>1.8</v>
      </c>
      <c r="N34" s="1">
        <v>30.6</v>
      </c>
      <c r="P34" s="1">
        <v>0.25</v>
      </c>
      <c r="Q34" s="118">
        <f t="shared" si="0"/>
        <v>0.7568110631569791</v>
      </c>
      <c r="R34" s="119">
        <f t="shared" si="1"/>
        <v>219.47520831552393</v>
      </c>
      <c r="S34" s="118">
        <f t="shared" si="2"/>
        <v>1.2273026351924841</v>
      </c>
      <c r="T34" s="118">
        <f t="shared" si="3"/>
        <v>15.543104160437958</v>
      </c>
      <c r="U34" s="118">
        <f t="shared" si="4"/>
        <v>-15.614314332489711</v>
      </c>
      <c r="V34" s="118">
        <f t="shared" si="5"/>
        <v>-16.781015999964119</v>
      </c>
      <c r="W34" s="118">
        <f t="shared" si="6"/>
        <v>-16.852226172015872</v>
      </c>
      <c r="X34" s="118">
        <f>IF(OR(N34="",R34=""),NA(),10*LOG10((G34+'CMOS FOM coeff. calculation'!$Q$3)^'CMOS FOM coeff. calculation'!$P$3*(1000*E34)^'CMOS FOM coeff. calculation'!$N$3*R34^'CMOS FOM coeff. calculation'!$O$3*N34^'CMOS FOM coeff. calculation'!$M$3))</f>
        <v>15.103511629070505</v>
      </c>
      <c r="Y34" s="68"/>
      <c r="Z34" t="s">
        <v>138</v>
      </c>
      <c r="AA34" s="3" t="s">
        <v>5</v>
      </c>
    </row>
    <row r="35" spans="1:27" ht="14.25" customHeight="1">
      <c r="A35" t="s">
        <v>1809</v>
      </c>
      <c r="B35" s="8" t="s">
        <v>139</v>
      </c>
      <c r="C35" s="3" t="s">
        <v>140</v>
      </c>
      <c r="D35" s="7" t="s">
        <v>141</v>
      </c>
      <c r="E35" s="6">
        <v>6.5000000000000002E-2</v>
      </c>
      <c r="F35" s="1">
        <v>4.75</v>
      </c>
      <c r="G35" s="1">
        <v>51.375</v>
      </c>
      <c r="H35" s="6">
        <v>-10</v>
      </c>
      <c r="I35" s="1">
        <v>4.5</v>
      </c>
      <c r="J35" s="6">
        <v>-19.16</v>
      </c>
      <c r="L35" s="1">
        <v>16</v>
      </c>
      <c r="M35" s="1">
        <v>2</v>
      </c>
      <c r="N35" s="1">
        <v>10</v>
      </c>
      <c r="P35" s="1">
        <v>0.2475</v>
      </c>
      <c r="Q35" s="118">
        <f t="shared" ref="Q35:Q66" si="7">IF(OR(I35="",L35=""),"",(10^(I35/10)-1)*10^(L35/10)/(10^(L35/10)-1))</f>
        <v>1.8652355294442604</v>
      </c>
      <c r="R35" s="119">
        <f t="shared" ref="R35:R66" si="8">IF(Q35="","",290*Q35)</f>
        <v>540.91830353883552</v>
      </c>
      <c r="S35" s="118">
        <f t="shared" ref="S35:S66" si="9">IF(OR(J35="",L35=""),"",10^(J35/10)*(10^(L35/10)-1))</f>
        <v>0.47092491353512311</v>
      </c>
      <c r="T35" s="118">
        <f t="shared" ref="T35:T66" si="10">IF(OR(Q35="",N35="",E35="",G35=""),NA(),10*LOG10(Q35*N35^(1/3)*E35^(-4/3)*G35^(-2/3)))</f>
        <v>10.463479806246021</v>
      </c>
      <c r="U35" s="118">
        <f t="shared" ref="U35:U66" si="11">IF(OR(ISNA(T35),F35=""),NA(),10*LOG10(F35^(1/3))-T35)</f>
        <v>-8.2078344408297994</v>
      </c>
      <c r="V35" s="118">
        <f t="shared" ref="V35:V66" si="12">IF(OR(ISNA(T35),S35=""),NA(),10*LOG10(S35^(1/3)*E35*G35^(1/3)/Q35/N35^(2/3)))</f>
        <v>-16.632524888966742</v>
      </c>
      <c r="W35" s="118">
        <f t="shared" ref="W35:W66" si="13">IF(OR(ISNA(V35),F35=""),NA(),V35+10*LOG10(F35^(1/3)))</f>
        <v>-14.376879523550521</v>
      </c>
      <c r="X35" s="118">
        <f>IF(OR(N35="",R35=""),NA(),10*LOG10((G35+'CMOS FOM coeff. calculation'!$Q$3)^'CMOS FOM coeff. calculation'!$P$3*(1000*E35)^'CMOS FOM coeff. calculation'!$N$3*R35^'CMOS FOM coeff. calculation'!$O$3*N35^'CMOS FOM coeff. calculation'!$M$3))</f>
        <v>22.426974386016767</v>
      </c>
      <c r="Y35" s="68"/>
      <c r="Z35" t="s">
        <v>142</v>
      </c>
      <c r="AA35" s="3" t="s">
        <v>35</v>
      </c>
    </row>
    <row r="36" spans="1:27">
      <c r="C36" s="11"/>
      <c r="E36" s="1">
        <v>0.13</v>
      </c>
      <c r="F36" s="23">
        <v>8</v>
      </c>
      <c r="G36" s="23">
        <v>39</v>
      </c>
      <c r="H36" s="6">
        <v>-5</v>
      </c>
      <c r="I36" s="1">
        <v>3.7</v>
      </c>
      <c r="J36" s="6">
        <v>-13.36</v>
      </c>
      <c r="K36" s="6" t="s">
        <v>5</v>
      </c>
      <c r="L36" s="1">
        <v>14.3</v>
      </c>
      <c r="M36" s="1">
        <v>3.6</v>
      </c>
      <c r="N36" s="1">
        <v>28.8</v>
      </c>
      <c r="P36" s="1">
        <v>0.252</v>
      </c>
      <c r="Q36" s="118">
        <f t="shared" si="7"/>
        <v>1.3960988042269986</v>
      </c>
      <c r="R36" s="119">
        <f t="shared" si="8"/>
        <v>404.86865322582958</v>
      </c>
      <c r="S36" s="118">
        <f t="shared" si="9"/>
        <v>1.1955205501363739</v>
      </c>
      <c r="T36" s="118">
        <f t="shared" si="10"/>
        <v>7.5207944327494269</v>
      </c>
      <c r="U36" s="118">
        <f t="shared" si="11"/>
        <v>-4.5104944761096153</v>
      </c>
      <c r="V36" s="118">
        <f t="shared" si="12"/>
        <v>-14.476939103974633</v>
      </c>
      <c r="W36" s="118">
        <f t="shared" si="13"/>
        <v>-11.466639147334821</v>
      </c>
      <c r="X36" s="118">
        <f>IF(OR(N36="",R36=""),NA(),10*LOG10((G36+'CMOS FOM coeff. calculation'!$Q$3)^'CMOS FOM coeff. calculation'!$P$3*(1000*E36)^'CMOS FOM coeff. calculation'!$N$3*R36^'CMOS FOM coeff. calculation'!$O$3*N36^'CMOS FOM coeff. calculation'!$M$3))</f>
        <v>22.931223759401927</v>
      </c>
      <c r="Y36" s="68"/>
    </row>
    <row r="37" spans="1:27">
      <c r="A37" t="s">
        <v>1535</v>
      </c>
      <c r="B37" s="8" t="s">
        <v>152</v>
      </c>
      <c r="C37" s="3" t="s">
        <v>153</v>
      </c>
      <c r="D37" s="7" t="s">
        <v>154</v>
      </c>
      <c r="E37" s="6">
        <v>0.13</v>
      </c>
      <c r="F37" s="23">
        <v>0.5</v>
      </c>
      <c r="G37" s="23">
        <v>1.95</v>
      </c>
      <c r="I37" s="1">
        <v>3.3</v>
      </c>
      <c r="J37" s="1">
        <v>-7.3</v>
      </c>
      <c r="L37" s="1">
        <v>13</v>
      </c>
      <c r="M37" s="1">
        <v>1.7</v>
      </c>
      <c r="N37" s="1">
        <v>37.4</v>
      </c>
      <c r="P37" s="1">
        <v>24</v>
      </c>
      <c r="Q37" s="118">
        <f t="shared" si="7"/>
        <v>1.1980045480323547</v>
      </c>
      <c r="R37" s="119">
        <f t="shared" si="8"/>
        <v>347.42131892938283</v>
      </c>
      <c r="S37" s="118">
        <f t="shared" si="9"/>
        <v>3.5291435773054398</v>
      </c>
      <c r="T37" s="118">
        <f t="shared" si="10"/>
        <v>15.908014568685507</v>
      </c>
      <c r="U37" s="118">
        <f t="shared" si="11"/>
        <v>-16.911447887565444</v>
      </c>
      <c r="V37" s="118">
        <f t="shared" si="12"/>
        <v>-17.338615364037594</v>
      </c>
      <c r="W37" s="118">
        <f t="shared" si="13"/>
        <v>-18.342048682917529</v>
      </c>
      <c r="X37" s="118">
        <f>IF(OR(N37="",R37=""),NA(),10*LOG10((G37+'CMOS FOM coeff. calculation'!$Q$3)^'CMOS FOM coeff. calculation'!$P$3*(1000*E37)^'CMOS FOM coeff. calculation'!$N$3*R37^'CMOS FOM coeff. calculation'!$O$3*N37^'CMOS FOM coeff. calculation'!$M$3))</f>
        <v>12.947602612926058</v>
      </c>
      <c r="Y37" s="68"/>
      <c r="Z37" t="s">
        <v>155</v>
      </c>
      <c r="AA37" s="3" t="s">
        <v>5</v>
      </c>
    </row>
    <row r="38" spans="1:27">
      <c r="A38" t="s">
        <v>1542</v>
      </c>
      <c r="B38" s="8" t="s">
        <v>156</v>
      </c>
      <c r="C38" s="3" t="s">
        <v>157</v>
      </c>
      <c r="D38" s="7" t="s">
        <v>158</v>
      </c>
      <c r="E38" s="6">
        <v>0.18</v>
      </c>
      <c r="F38" s="1">
        <v>2</v>
      </c>
      <c r="G38" s="1">
        <v>4</v>
      </c>
      <c r="H38" s="1">
        <v>-10</v>
      </c>
      <c r="I38" s="1">
        <v>3.8</v>
      </c>
      <c r="J38" s="1">
        <v>-16</v>
      </c>
      <c r="L38" s="1">
        <v>11.5</v>
      </c>
      <c r="M38" s="1">
        <v>0.9</v>
      </c>
      <c r="N38" s="1">
        <v>2.5</v>
      </c>
      <c r="P38" s="1">
        <v>0.62</v>
      </c>
      <c r="Q38" s="118">
        <f t="shared" si="7"/>
        <v>1.5054076166157824</v>
      </c>
      <c r="R38" s="119">
        <f t="shared" si="8"/>
        <v>436.56820881857686</v>
      </c>
      <c r="S38" s="118">
        <f t="shared" si="9"/>
        <v>0.32969452491847939</v>
      </c>
      <c r="T38" s="118">
        <f t="shared" si="10"/>
        <v>9.0189744421942226</v>
      </c>
      <c r="U38" s="118">
        <f t="shared" si="11"/>
        <v>-8.0155411233142857</v>
      </c>
      <c r="V38" s="118">
        <f t="shared" si="12"/>
        <v>-11.476177008940741</v>
      </c>
      <c r="W38" s="118">
        <f t="shared" si="13"/>
        <v>-10.472743690060804</v>
      </c>
      <c r="X38" s="118">
        <f>IF(OR(N38="",R38=""),NA(),10*LOG10((G38+'CMOS FOM coeff. calculation'!$Q$3)^'CMOS FOM coeff. calculation'!$P$3*(1000*E38)^'CMOS FOM coeff. calculation'!$N$3*R38^'CMOS FOM coeff. calculation'!$O$3*N38^'CMOS FOM coeff. calculation'!$M$3))</f>
        <v>16.431986315823821</v>
      </c>
      <c r="Y38" s="68"/>
      <c r="Z38" t="s">
        <v>159</v>
      </c>
      <c r="AA38" s="3" t="s">
        <v>35</v>
      </c>
    </row>
    <row r="39" spans="1:27">
      <c r="E39" s="1">
        <v>0.18</v>
      </c>
      <c r="F39" s="1">
        <v>1.8</v>
      </c>
      <c r="G39" s="1">
        <v>3.9</v>
      </c>
      <c r="H39" s="1">
        <v>-7.5</v>
      </c>
      <c r="I39" s="1">
        <v>3.5</v>
      </c>
      <c r="J39" s="1">
        <v>-18</v>
      </c>
      <c r="L39" s="1">
        <v>15</v>
      </c>
      <c r="M39" s="1">
        <v>0.9</v>
      </c>
      <c r="N39" s="1">
        <v>5</v>
      </c>
      <c r="P39" s="1">
        <v>0.76</v>
      </c>
      <c r="Q39" s="118">
        <f t="shared" si="7"/>
        <v>1.279172112517587</v>
      </c>
      <c r="R39" s="119">
        <f t="shared" si="8"/>
        <v>370.95991263010023</v>
      </c>
      <c r="S39" s="118">
        <f t="shared" si="9"/>
        <v>0.48533830170266096</v>
      </c>
      <c r="T39" s="118">
        <f t="shared" si="10"/>
        <v>9.3884590599203577</v>
      </c>
      <c r="U39" s="118">
        <f t="shared" si="11"/>
        <v>-8.5375507095760046</v>
      </c>
      <c r="V39" s="118">
        <f t="shared" si="12"/>
        <v>-12.252667561079956</v>
      </c>
      <c r="W39" s="118">
        <f t="shared" si="13"/>
        <v>-11.401759210735603</v>
      </c>
      <c r="X39" s="118">
        <f>IF(OR(N39="",R39=""),NA(),10*LOG10((G39+'CMOS FOM coeff. calculation'!$Q$3)^'CMOS FOM coeff. calculation'!$P$3*(1000*E39)^'CMOS FOM coeff. calculation'!$N$3*R39^'CMOS FOM coeff. calculation'!$O$3*N39^'CMOS FOM coeff. calculation'!$M$3))</f>
        <v>16.418596199025256</v>
      </c>
      <c r="Y39" s="68"/>
    </row>
    <row r="40" spans="1:27">
      <c r="A40" t="s">
        <v>1542</v>
      </c>
      <c r="B40" s="8" t="s">
        <v>160</v>
      </c>
      <c r="C40" s="3" t="s">
        <v>162</v>
      </c>
      <c r="D40" s="7" t="s">
        <v>163</v>
      </c>
      <c r="E40" s="6">
        <v>0.18</v>
      </c>
      <c r="F40" s="1">
        <v>4.2</v>
      </c>
      <c r="G40" s="1">
        <v>3.8</v>
      </c>
      <c r="H40" s="6">
        <v>-6</v>
      </c>
      <c r="I40" s="1">
        <v>3.61</v>
      </c>
      <c r="J40" s="1">
        <v>-22</v>
      </c>
      <c r="K40" s="1">
        <v>-12</v>
      </c>
      <c r="L40" s="1">
        <v>11.2</v>
      </c>
      <c r="M40" s="1">
        <v>1.8</v>
      </c>
      <c r="N40" s="1">
        <v>10.34</v>
      </c>
      <c r="O40" s="1">
        <v>0.56499999999999995</v>
      </c>
      <c r="Q40" s="118">
        <f t="shared" si="7"/>
        <v>1.4025423668656238</v>
      </c>
      <c r="R40" s="119">
        <f t="shared" si="8"/>
        <v>406.73728639103092</v>
      </c>
      <c r="S40" s="118">
        <f t="shared" si="9"/>
        <v>7.6866803665465069E-2</v>
      </c>
      <c r="T40" s="118">
        <f t="shared" si="10"/>
        <v>10.915370973132124</v>
      </c>
      <c r="U40" s="118">
        <f t="shared" si="11"/>
        <v>-8.8378733384724555</v>
      </c>
      <c r="V40" s="118">
        <f t="shared" si="12"/>
        <v>-17.461497033800107</v>
      </c>
      <c r="W40" s="118">
        <f t="shared" si="13"/>
        <v>-15.383999399140439</v>
      </c>
      <c r="X40" s="118">
        <f>IF(OR(N40="",R40=""),NA(),10*LOG10((G40+'CMOS FOM coeff. calculation'!$Q$3)^'CMOS FOM coeff. calculation'!$P$3*(1000*E40)^'CMOS FOM coeff. calculation'!$N$3*R40^'CMOS FOM coeff. calculation'!$O$3*N40^'CMOS FOM coeff. calculation'!$M$3))</f>
        <v>15.379490678697138</v>
      </c>
      <c r="Y40" s="68"/>
      <c r="Z40" t="s">
        <v>161</v>
      </c>
      <c r="AA40" s="3" t="s">
        <v>243</v>
      </c>
    </row>
    <row r="41" spans="1:27">
      <c r="B41" s="18">
        <v>7</v>
      </c>
      <c r="E41" s="1">
        <v>0.18</v>
      </c>
      <c r="F41" s="1">
        <v>8.75</v>
      </c>
      <c r="G41" s="1">
        <v>7.125</v>
      </c>
      <c r="H41" s="6">
        <v>-10</v>
      </c>
      <c r="I41" s="1">
        <v>3.74</v>
      </c>
      <c r="J41" s="1">
        <v>-22</v>
      </c>
      <c r="K41" s="1">
        <v>-11</v>
      </c>
      <c r="L41" s="1">
        <v>12.26</v>
      </c>
      <c r="M41" s="1">
        <v>1.8</v>
      </c>
      <c r="N41" s="1">
        <v>10.34</v>
      </c>
      <c r="O41" s="1">
        <v>0.53600000000000003</v>
      </c>
      <c r="Q41" s="118">
        <f t="shared" si="7"/>
        <v>1.4522242456605037</v>
      </c>
      <c r="R41" s="119">
        <f t="shared" si="8"/>
        <v>421.14503124154606</v>
      </c>
      <c r="S41" s="118">
        <f t="shared" si="9"/>
        <v>9.9859982275070425E-2</v>
      </c>
      <c r="T41" s="118">
        <f t="shared" si="10"/>
        <v>9.2465394358823119</v>
      </c>
      <c r="U41" s="118">
        <f t="shared" si="11"/>
        <v>-6.1065125924746013</v>
      </c>
      <c r="V41" s="118">
        <f t="shared" si="12"/>
        <v>-16.323827528912329</v>
      </c>
      <c r="W41" s="118">
        <f t="shared" si="13"/>
        <v>-13.183800685504618</v>
      </c>
      <c r="X41" s="118">
        <f>IF(OR(N41="",R41=""),NA(),10*LOG10((G41+'CMOS FOM coeff. calculation'!$Q$3)^'CMOS FOM coeff. calculation'!$P$3*(1000*E41)^'CMOS FOM coeff. calculation'!$N$3*R41^'CMOS FOM coeff. calculation'!$O$3*N41^'CMOS FOM coeff. calculation'!$M$3))</f>
        <v>16.71576212456463</v>
      </c>
      <c r="Y41" s="68"/>
    </row>
    <row r="42" spans="1:27">
      <c r="A42" t="s">
        <v>1810</v>
      </c>
      <c r="B42" s="8" t="s">
        <v>168</v>
      </c>
      <c r="C42" s="3" t="s">
        <v>169</v>
      </c>
      <c r="D42" s="7" t="s">
        <v>170</v>
      </c>
      <c r="E42" s="6">
        <v>0.18</v>
      </c>
      <c r="F42" s="1">
        <v>8.5</v>
      </c>
      <c r="G42" s="1">
        <v>7.25</v>
      </c>
      <c r="H42" s="6">
        <v>-10</v>
      </c>
      <c r="I42" s="1">
        <v>4.5</v>
      </c>
      <c r="K42" s="6">
        <v>-12</v>
      </c>
      <c r="L42" s="1">
        <v>11.5</v>
      </c>
      <c r="M42" s="1">
        <v>1.5</v>
      </c>
      <c r="N42" s="1">
        <v>9</v>
      </c>
      <c r="O42" s="1">
        <v>0.46</v>
      </c>
      <c r="Q42" s="118">
        <f t="shared" si="7"/>
        <v>1.9569224297126366</v>
      </c>
      <c r="R42" s="119">
        <f t="shared" si="8"/>
        <v>567.50750461666462</v>
      </c>
      <c r="S42" s="118" t="str">
        <f t="shared" si="9"/>
        <v/>
      </c>
      <c r="T42" s="118">
        <f t="shared" si="10"/>
        <v>10.290657696639451</v>
      </c>
      <c r="U42" s="118">
        <f t="shared" si="11"/>
        <v>-7.1925946109251431</v>
      </c>
      <c r="V42" s="118" t="e">
        <f t="shared" si="12"/>
        <v>#N/A</v>
      </c>
      <c r="W42" s="118" t="e">
        <f t="shared" si="13"/>
        <v>#N/A</v>
      </c>
      <c r="X42" s="118">
        <f>IF(OR(N42="",R42=""),NA(),10*LOG10((G42+'CMOS FOM coeff. calculation'!$Q$3)^'CMOS FOM coeff. calculation'!$P$3*(1000*E42)^'CMOS FOM coeff. calculation'!$N$3*R42^'CMOS FOM coeff. calculation'!$O$3*N42^'CMOS FOM coeff. calculation'!$M$3))</f>
        <v>15.721223966845582</v>
      </c>
      <c r="Y42" s="68"/>
      <c r="Z42" t="s">
        <v>171</v>
      </c>
      <c r="AA42" s="3" t="s">
        <v>35</v>
      </c>
    </row>
    <row r="43" spans="1:27">
      <c r="A43" t="s">
        <v>1563</v>
      </c>
      <c r="B43" s="8" t="s">
        <v>176</v>
      </c>
      <c r="C43" s="3" t="s">
        <v>177</v>
      </c>
      <c r="D43" s="7" t="s">
        <v>178</v>
      </c>
      <c r="E43" s="6">
        <v>0.09</v>
      </c>
      <c r="F43" s="1">
        <v>0.28000000000000003</v>
      </c>
      <c r="G43" s="1">
        <v>0.61</v>
      </c>
      <c r="H43" s="1">
        <v>-10</v>
      </c>
      <c r="I43" s="1">
        <v>3.9</v>
      </c>
      <c r="K43" s="6">
        <v>-5.5</v>
      </c>
      <c r="L43" s="1">
        <v>26.2</v>
      </c>
      <c r="M43" s="1">
        <v>2</v>
      </c>
      <c r="N43" s="1">
        <v>10</v>
      </c>
      <c r="O43" s="1">
        <v>0.28299999999999997</v>
      </c>
      <c r="Q43" s="118">
        <f t="shared" si="7"/>
        <v>1.4582069104244986</v>
      </c>
      <c r="R43" s="119">
        <f t="shared" si="8"/>
        <v>422.88000402310456</v>
      </c>
      <c r="S43" s="118" t="str">
        <f t="shared" si="9"/>
        <v/>
      </c>
      <c r="T43" s="118">
        <f t="shared" si="10"/>
        <v>20.346092494274316</v>
      </c>
      <c r="U43" s="118">
        <f t="shared" si="11"/>
        <v>-22.188899056466919</v>
      </c>
      <c r="V43" s="118" t="e">
        <f t="shared" si="12"/>
        <v>#N/A</v>
      </c>
      <c r="W43" s="118" t="e">
        <f t="shared" si="13"/>
        <v>#N/A</v>
      </c>
      <c r="X43" s="118">
        <f>IF(OR(N43="",R43=""),NA(),10*LOG10((G43+'CMOS FOM coeff. calculation'!$Q$3)^'CMOS FOM coeff. calculation'!$P$3*(1000*E43)^'CMOS FOM coeff. calculation'!$N$3*R43^'CMOS FOM coeff. calculation'!$O$3*N43^'CMOS FOM coeff. calculation'!$M$3))</f>
        <v>11.454844387225451</v>
      </c>
      <c r="Y43" s="68"/>
      <c r="Z43" t="s">
        <v>179</v>
      </c>
      <c r="AA43" s="3" t="s">
        <v>5</v>
      </c>
    </row>
    <row r="44" spans="1:27">
      <c r="A44" t="s">
        <v>1559</v>
      </c>
      <c r="B44" s="8" t="s">
        <v>180</v>
      </c>
      <c r="C44" s="3" t="s">
        <v>181</v>
      </c>
      <c r="D44" s="7" t="s">
        <v>182</v>
      </c>
      <c r="E44" s="6">
        <v>0.09</v>
      </c>
      <c r="F44" s="1">
        <v>7.5</v>
      </c>
      <c r="G44" s="1">
        <v>6.85</v>
      </c>
      <c r="H44" s="1">
        <v>-14.1</v>
      </c>
      <c r="I44" s="1">
        <v>2.92</v>
      </c>
      <c r="J44" s="1">
        <v>-9</v>
      </c>
      <c r="K44" s="1">
        <v>4</v>
      </c>
      <c r="L44" s="1">
        <v>10.68</v>
      </c>
      <c r="M44" s="1">
        <v>1.2</v>
      </c>
      <c r="N44" s="1">
        <v>21.6</v>
      </c>
      <c r="O44" s="6"/>
      <c r="P44" s="1">
        <v>0.13900000000000001</v>
      </c>
      <c r="Q44" s="118">
        <f t="shared" si="7"/>
        <v>1.048498270465184</v>
      </c>
      <c r="R44" s="119">
        <f t="shared" si="8"/>
        <v>304.06449843490333</v>
      </c>
      <c r="S44" s="118">
        <f t="shared" si="9"/>
        <v>1.3464199612533023</v>
      </c>
      <c r="T44" s="118">
        <f t="shared" si="10"/>
        <v>13.026019085541735</v>
      </c>
      <c r="U44" s="118">
        <f t="shared" si="11"/>
        <v>-10.109148207569401</v>
      </c>
      <c r="V44" s="118">
        <f t="shared" si="12"/>
        <v>-16.343373387092587</v>
      </c>
      <c r="W44" s="118">
        <f t="shared" si="13"/>
        <v>-13.426502509120255</v>
      </c>
      <c r="X44" s="118">
        <f>IF(OR(N44="",R44=""),NA(),10*LOG10((G44+'CMOS FOM coeff. calculation'!$Q$3)^'CMOS FOM coeff. calculation'!$P$3*(1000*E44)^'CMOS FOM coeff. calculation'!$N$3*R44^'CMOS FOM coeff. calculation'!$O$3*N44^'CMOS FOM coeff. calculation'!$M$3))</f>
        <v>15.129140620355322</v>
      </c>
      <c r="Y44" s="68"/>
      <c r="Z44" t="s">
        <v>183</v>
      </c>
      <c r="AA44" s="3" t="s">
        <v>35</v>
      </c>
    </row>
    <row r="45" spans="1:27">
      <c r="E45" s="1">
        <v>0.09</v>
      </c>
      <c r="F45" s="1">
        <v>26.4</v>
      </c>
      <c r="G45" s="1">
        <v>14.8</v>
      </c>
      <c r="H45" s="1">
        <v>-10</v>
      </c>
      <c r="I45" s="1">
        <v>2.92</v>
      </c>
      <c r="J45" s="1">
        <v>-9</v>
      </c>
      <c r="K45" s="1">
        <v>4</v>
      </c>
      <c r="L45" s="1">
        <v>10.7</v>
      </c>
      <c r="M45" s="1">
        <v>1.2</v>
      </c>
      <c r="N45" s="1">
        <v>21.6</v>
      </c>
      <c r="O45" s="6"/>
      <c r="P45" s="1">
        <v>0.13900000000000001</v>
      </c>
      <c r="Q45" s="118">
        <f t="shared" si="7"/>
        <v>1.0480480277326103</v>
      </c>
      <c r="R45" s="119">
        <f t="shared" si="8"/>
        <v>303.93392804245701</v>
      </c>
      <c r="S45" s="118">
        <f t="shared" si="9"/>
        <v>1.35321584698879</v>
      </c>
      <c r="T45" s="118">
        <f t="shared" si="10"/>
        <v>10.793679459023704</v>
      </c>
      <c r="U45" s="118">
        <f t="shared" si="11"/>
        <v>-6.0549997027909335</v>
      </c>
      <c r="V45" s="118">
        <f t="shared" si="12"/>
        <v>-15.218982462304835</v>
      </c>
      <c r="W45" s="118">
        <f t="shared" si="13"/>
        <v>-10.480302706072065</v>
      </c>
      <c r="X45" s="118">
        <f>IF(OR(N45="",R45=""),NA(),10*LOG10((G45+'CMOS FOM coeff. calculation'!$Q$3)^'CMOS FOM coeff. calculation'!$P$3*(1000*E45)^'CMOS FOM coeff. calculation'!$N$3*R45^'CMOS FOM coeff. calculation'!$O$3*N45^'CMOS FOM coeff. calculation'!$M$3))</f>
        <v>17.91373737535174</v>
      </c>
      <c r="Y45" s="68"/>
    </row>
    <row r="46" spans="1:27">
      <c r="A46" t="s">
        <v>1559</v>
      </c>
      <c r="B46" s="8" t="s">
        <v>184</v>
      </c>
      <c r="C46" s="3" t="s">
        <v>185</v>
      </c>
      <c r="D46" s="7" t="s">
        <v>186</v>
      </c>
      <c r="E46" s="6">
        <v>0.18</v>
      </c>
      <c r="F46" s="27">
        <v>7.5</v>
      </c>
      <c r="G46" s="27">
        <v>6.85</v>
      </c>
      <c r="H46" s="1">
        <v>-13.5</v>
      </c>
      <c r="I46" s="1">
        <v>5.27</v>
      </c>
      <c r="J46" s="6">
        <v>-10</v>
      </c>
      <c r="K46" s="6">
        <v>-2.23</v>
      </c>
      <c r="L46" s="1">
        <v>12</v>
      </c>
      <c r="M46" s="1">
        <v>1.5</v>
      </c>
      <c r="N46" s="1">
        <v>4.5</v>
      </c>
      <c r="P46" s="1">
        <v>1.0296000000000001</v>
      </c>
      <c r="Q46" s="118">
        <f t="shared" si="7"/>
        <v>2.5243941998294677</v>
      </c>
      <c r="R46" s="119">
        <f t="shared" si="8"/>
        <v>732.07431795054561</v>
      </c>
      <c r="S46" s="118">
        <f t="shared" si="9"/>
        <v>1.4848931924611137</v>
      </c>
      <c r="T46" s="118">
        <f t="shared" si="10"/>
        <v>10.557376237735781</v>
      </c>
      <c r="U46" s="118">
        <f t="shared" si="11"/>
        <v>-7.6405053597634476</v>
      </c>
      <c r="V46" s="118">
        <f t="shared" si="12"/>
        <v>-12.465644151583097</v>
      </c>
      <c r="W46" s="118">
        <f t="shared" si="13"/>
        <v>-9.5487732736107631</v>
      </c>
      <c r="X46" s="118">
        <f>IF(OR(N46="",R46=""),NA(),10*LOG10((G46+'CMOS FOM coeff. calculation'!$Q$3)^'CMOS FOM coeff. calculation'!$P$3*(1000*E46)^'CMOS FOM coeff. calculation'!$N$3*R46^'CMOS FOM coeff. calculation'!$O$3*N46^'CMOS FOM coeff. calculation'!$M$3))</f>
        <v>15.164527967685192</v>
      </c>
      <c r="Y46" s="68"/>
      <c r="Z46" t="s">
        <v>187</v>
      </c>
      <c r="AA46" s="3" t="s">
        <v>5</v>
      </c>
    </row>
    <row r="47" spans="1:27">
      <c r="A47" t="s">
        <v>1570</v>
      </c>
      <c r="B47" s="8" t="s">
        <v>188</v>
      </c>
      <c r="C47" s="3" t="s">
        <v>189</v>
      </c>
      <c r="D47" s="7" t="s">
        <v>190</v>
      </c>
      <c r="E47" s="6">
        <v>0.18</v>
      </c>
      <c r="F47" s="21">
        <v>2</v>
      </c>
      <c r="G47" s="21">
        <v>2.0499999999999998</v>
      </c>
      <c r="H47" s="1">
        <v>-10</v>
      </c>
      <c r="I47" s="1">
        <v>2.57</v>
      </c>
      <c r="K47" s="1">
        <v>-0.7</v>
      </c>
      <c r="L47" s="1">
        <v>16.899999999999999</v>
      </c>
      <c r="M47" s="1">
        <v>1.8</v>
      </c>
      <c r="N47" s="1">
        <v>12.6</v>
      </c>
      <c r="O47" s="1">
        <v>7.2999999999999995E-2</v>
      </c>
      <c r="Q47" s="118">
        <f t="shared" si="7"/>
        <v>0.82399800596197326</v>
      </c>
      <c r="R47" s="119">
        <f t="shared" si="8"/>
        <v>238.95942172897225</v>
      </c>
      <c r="S47" s="118" t="str">
        <f t="shared" si="9"/>
        <v/>
      </c>
      <c r="T47" s="118">
        <f t="shared" si="10"/>
        <v>10.678504282562635</v>
      </c>
      <c r="U47" s="118">
        <f t="shared" si="11"/>
        <v>-9.6750709636826979</v>
      </c>
      <c r="V47" s="118" t="e">
        <f t="shared" si="12"/>
        <v>#N/A</v>
      </c>
      <c r="W47" s="118" t="e">
        <f t="shared" si="13"/>
        <v>#N/A</v>
      </c>
      <c r="X47" s="118">
        <f>IF(OR(N47="",R47=""),NA(),10*LOG10((G47+'CMOS FOM coeff. calculation'!$Q$3)^'CMOS FOM coeff. calculation'!$P$3*(1000*E47)^'CMOS FOM coeff. calculation'!$N$3*R47^'CMOS FOM coeff. calculation'!$O$3*N47^'CMOS FOM coeff. calculation'!$M$3))</f>
        <v>16.398316324167389</v>
      </c>
      <c r="Y47" s="68"/>
      <c r="Z47" t="s">
        <v>191</v>
      </c>
      <c r="AA47" s="3" t="s">
        <v>5</v>
      </c>
    </row>
    <row r="48" spans="1:27">
      <c r="A48" t="s">
        <v>1577</v>
      </c>
      <c r="B48" s="8" t="s">
        <v>192</v>
      </c>
      <c r="C48" s="3" t="s">
        <v>413</v>
      </c>
      <c r="D48" s="7" t="s">
        <v>193</v>
      </c>
      <c r="E48" s="6">
        <v>0.13</v>
      </c>
      <c r="F48" s="27">
        <v>8</v>
      </c>
      <c r="G48" s="27">
        <v>4</v>
      </c>
      <c r="H48" s="1">
        <v>-10</v>
      </c>
      <c r="I48" s="1">
        <v>2.7</v>
      </c>
      <c r="K48" s="1">
        <v>-3.8</v>
      </c>
      <c r="L48" s="1">
        <v>12.4</v>
      </c>
      <c r="M48" s="1">
        <v>1.8</v>
      </c>
      <c r="N48" s="1">
        <v>14.4</v>
      </c>
      <c r="O48" s="1">
        <v>3.1E-2</v>
      </c>
      <c r="P48" s="1">
        <v>0.3654</v>
      </c>
      <c r="Q48" s="118">
        <f t="shared" si="7"/>
        <v>0.91472400932345577</v>
      </c>
      <c r="R48" s="119">
        <f t="shared" si="8"/>
        <v>265.26996270380215</v>
      </c>
      <c r="S48" s="118" t="str">
        <f t="shared" si="9"/>
        <v/>
      </c>
      <c r="T48" s="118">
        <f t="shared" si="10"/>
        <v>11.274464451662482</v>
      </c>
      <c r="U48" s="118">
        <f t="shared" si="11"/>
        <v>-8.2641644950226691</v>
      </c>
      <c r="V48" s="118" t="e">
        <f t="shared" si="12"/>
        <v>#N/A</v>
      </c>
      <c r="W48" s="118" t="e">
        <f t="shared" si="13"/>
        <v>#N/A</v>
      </c>
      <c r="X48" s="118">
        <f>IF(OR(N48="",R48=""),NA(),10*LOG10((G48+'CMOS FOM coeff. calculation'!$Q$3)^'CMOS FOM coeff. calculation'!$P$3*(1000*E48)^'CMOS FOM coeff. calculation'!$N$3*R48^'CMOS FOM coeff. calculation'!$O$3*N48^'CMOS FOM coeff. calculation'!$M$3))</f>
        <v>15.869113554707948</v>
      </c>
      <c r="Y48" s="68"/>
      <c r="Z48" t="s">
        <v>194</v>
      </c>
      <c r="AA48" s="3" t="s">
        <v>5</v>
      </c>
    </row>
    <row r="49" spans="1:27">
      <c r="A49" t="s">
        <v>1577</v>
      </c>
      <c r="B49" s="14" t="s">
        <v>195</v>
      </c>
      <c r="C49" s="3" t="s">
        <v>196</v>
      </c>
      <c r="D49" s="7" t="s">
        <v>197</v>
      </c>
      <c r="E49" s="6">
        <v>0.18</v>
      </c>
      <c r="F49" s="1">
        <v>7.4999999999999997E-2</v>
      </c>
      <c r="G49" s="1">
        <v>0.9</v>
      </c>
      <c r="H49" s="1">
        <v>-10.6</v>
      </c>
      <c r="I49" s="1">
        <v>1.8</v>
      </c>
      <c r="K49" s="1">
        <v>9.4</v>
      </c>
      <c r="L49" s="1">
        <v>14.9</v>
      </c>
      <c r="M49" s="1">
        <v>1.5</v>
      </c>
      <c r="N49" s="1">
        <v>5.55</v>
      </c>
      <c r="O49" s="1">
        <v>7.2599999999999998E-2</v>
      </c>
      <c r="Q49" s="118">
        <f t="shared" si="7"/>
        <v>0.53073551298720334</v>
      </c>
      <c r="R49" s="119">
        <f t="shared" si="8"/>
        <v>153.91329876628896</v>
      </c>
      <c r="S49" s="118" t="str">
        <f t="shared" si="9"/>
        <v/>
      </c>
      <c r="T49" s="118">
        <f t="shared" si="10"/>
        <v>9.9645079639523182</v>
      </c>
      <c r="U49" s="118">
        <f t="shared" si="11"/>
        <v>-13.714303752646652</v>
      </c>
      <c r="V49" s="118" t="e">
        <f t="shared" si="12"/>
        <v>#N/A</v>
      </c>
      <c r="W49" s="118" t="e">
        <f t="shared" si="13"/>
        <v>#N/A</v>
      </c>
      <c r="X49" s="118">
        <f>IF(OR(N49="",R49=""),NA(),10*LOG10((G49+'CMOS FOM coeff. calculation'!$Q$3)^'CMOS FOM coeff. calculation'!$P$3*(1000*E49)^'CMOS FOM coeff. calculation'!$N$3*R49^'CMOS FOM coeff. calculation'!$O$3*N49^'CMOS FOM coeff. calculation'!$M$3))</f>
        <v>18.192375198185896</v>
      </c>
      <c r="Y49" s="68"/>
      <c r="Z49" t="s">
        <v>198</v>
      </c>
      <c r="AA49" s="3" t="s">
        <v>5</v>
      </c>
    </row>
    <row r="50" spans="1:27">
      <c r="A50" t="s">
        <v>1584</v>
      </c>
      <c r="B50" s="8" t="s">
        <v>199</v>
      </c>
      <c r="C50" s="107" t="s">
        <v>200</v>
      </c>
      <c r="D50" s="7" t="s">
        <v>201</v>
      </c>
      <c r="E50" s="6">
        <v>0.13</v>
      </c>
      <c r="F50" s="1">
        <v>0.65</v>
      </c>
      <c r="G50" s="1">
        <v>0.375</v>
      </c>
      <c r="H50" s="1">
        <v>-10</v>
      </c>
      <c r="I50" s="1">
        <v>2.5</v>
      </c>
      <c r="K50" s="6">
        <v>-0.5</v>
      </c>
      <c r="L50" s="1">
        <v>18</v>
      </c>
      <c r="M50" s="1">
        <v>1.2</v>
      </c>
      <c r="N50" s="1">
        <v>30</v>
      </c>
      <c r="O50" s="1">
        <v>0.06</v>
      </c>
      <c r="Q50" s="118">
        <f t="shared" si="7"/>
        <v>0.79081295065901858</v>
      </c>
      <c r="R50" s="119">
        <f t="shared" si="8"/>
        <v>229.33575569111539</v>
      </c>
      <c r="S50" s="118" t="str">
        <f t="shared" si="9"/>
        <v/>
      </c>
      <c r="T50" s="118">
        <f t="shared" si="10"/>
        <v>18.55835542886723</v>
      </c>
      <c r="U50" s="118">
        <f t="shared" si="11"/>
        <v>-19.181977573391045</v>
      </c>
      <c r="V50" s="118" t="e">
        <f t="shared" si="12"/>
        <v>#N/A</v>
      </c>
      <c r="W50" s="118" t="e">
        <f t="shared" si="13"/>
        <v>#N/A</v>
      </c>
      <c r="X50" s="118">
        <f>IF(OR(N50="",R50=""),NA(),10*LOG10((G50+'CMOS FOM coeff. calculation'!$Q$3)^'CMOS FOM coeff. calculation'!$P$3*(1000*E50)^'CMOS FOM coeff. calculation'!$N$3*R50^'CMOS FOM coeff. calculation'!$O$3*N50^'CMOS FOM coeff. calculation'!$M$3))</f>
        <v>13.871286288369086</v>
      </c>
      <c r="Y50" s="68"/>
      <c r="Z50" t="s">
        <v>202</v>
      </c>
      <c r="AA50" s="3" t="s">
        <v>35</v>
      </c>
    </row>
    <row r="51" spans="1:27">
      <c r="A51" t="s">
        <v>1584</v>
      </c>
      <c r="B51" s="8" t="s">
        <v>203</v>
      </c>
      <c r="C51" s="108" t="s">
        <v>204</v>
      </c>
      <c r="D51" s="7" t="s">
        <v>205</v>
      </c>
      <c r="E51" s="6">
        <v>6.5000000000000002E-2</v>
      </c>
      <c r="F51" s="27">
        <v>0.8</v>
      </c>
      <c r="G51" s="27">
        <v>5.8</v>
      </c>
      <c r="H51" s="1">
        <v>-10</v>
      </c>
      <c r="I51" s="1">
        <v>1.85</v>
      </c>
      <c r="K51" s="1">
        <v>-10</v>
      </c>
      <c r="L51" s="1">
        <v>18.100000000000001</v>
      </c>
      <c r="M51" s="1">
        <v>1.2</v>
      </c>
      <c r="N51" s="1">
        <v>7.8</v>
      </c>
      <c r="Q51" s="118">
        <f t="shared" si="7"/>
        <v>0.53944243577680773</v>
      </c>
      <c r="R51" s="119">
        <f t="shared" si="8"/>
        <v>156.43830637527424</v>
      </c>
      <c r="S51" s="118" t="str">
        <f t="shared" si="9"/>
        <v/>
      </c>
      <c r="T51" s="118">
        <f t="shared" si="10"/>
        <v>11.031401706666792</v>
      </c>
      <c r="U51" s="118">
        <f t="shared" si="11"/>
        <v>-11.354435083360313</v>
      </c>
      <c r="V51" s="118" t="e">
        <f t="shared" si="12"/>
        <v>#N/A</v>
      </c>
      <c r="W51" s="118" t="e">
        <f t="shared" si="13"/>
        <v>#N/A</v>
      </c>
      <c r="X51" s="118">
        <f>IF(OR(N51="",R51=""),NA(),10*LOG10((G51+'CMOS FOM coeff. calculation'!$Q$3)^'CMOS FOM coeff. calculation'!$P$3*(1000*E51)^'CMOS FOM coeff. calculation'!$N$3*R51^'CMOS FOM coeff. calculation'!$O$3*N51^'CMOS FOM coeff. calculation'!$M$3))</f>
        <v>17.177716254287482</v>
      </c>
      <c r="Y51" s="68"/>
      <c r="Z51" t="s">
        <v>206</v>
      </c>
      <c r="AA51" s="3" t="s">
        <v>207</v>
      </c>
    </row>
    <row r="52" spans="1:27">
      <c r="E52" s="1">
        <v>6.5000000000000002E-2</v>
      </c>
      <c r="F52" s="28">
        <v>0.8</v>
      </c>
      <c r="G52" s="28">
        <v>5.8</v>
      </c>
      <c r="H52" s="1">
        <v>-10</v>
      </c>
      <c r="I52" s="1">
        <v>1.93</v>
      </c>
      <c r="K52" s="1">
        <v>-11</v>
      </c>
      <c r="L52" s="1">
        <v>17.3</v>
      </c>
      <c r="M52" s="1">
        <v>1.2</v>
      </c>
      <c r="N52" s="1">
        <v>7.8</v>
      </c>
      <c r="P52" s="1">
        <v>0.55000000000000004</v>
      </c>
      <c r="Q52" s="118">
        <f t="shared" si="7"/>
        <v>0.57016955680131864</v>
      </c>
      <c r="R52" s="119">
        <f t="shared" si="8"/>
        <v>165.34917147238241</v>
      </c>
      <c r="S52" s="118" t="str">
        <f t="shared" si="9"/>
        <v/>
      </c>
      <c r="T52" s="118">
        <f t="shared" si="10"/>
        <v>11.271990882016901</v>
      </c>
      <c r="U52" s="118">
        <f t="shared" si="11"/>
        <v>-11.595024258710422</v>
      </c>
      <c r="V52" s="118" t="e">
        <f t="shared" si="12"/>
        <v>#N/A</v>
      </c>
      <c r="W52" s="118" t="e">
        <f t="shared" si="13"/>
        <v>#N/A</v>
      </c>
      <c r="X52" s="118">
        <f>IF(OR(N52="",R52=""),NA(),10*LOG10((G52+'CMOS FOM coeff. calculation'!$Q$3)^'CMOS FOM coeff. calculation'!$P$3*(1000*E52)^'CMOS FOM coeff. calculation'!$N$3*R52^'CMOS FOM coeff. calculation'!$O$3*N52^'CMOS FOM coeff. calculation'!$M$3))</f>
        <v>16.961185996472384</v>
      </c>
      <c r="Y52" s="68"/>
    </row>
    <row r="53" spans="1:27">
      <c r="E53" s="1">
        <v>6.5000000000000002E-2</v>
      </c>
      <c r="F53" s="58">
        <v>0.8</v>
      </c>
      <c r="G53" s="58">
        <v>5.8</v>
      </c>
      <c r="H53" s="1">
        <v>-10</v>
      </c>
      <c r="I53" s="1">
        <v>2.44</v>
      </c>
      <c r="K53" s="1">
        <v>-11</v>
      </c>
      <c r="L53" s="1">
        <v>17.399999999999999</v>
      </c>
      <c r="M53" s="1">
        <v>1.2</v>
      </c>
      <c r="N53" s="1">
        <v>7.8</v>
      </c>
      <c r="P53" s="1">
        <v>0.59</v>
      </c>
      <c r="Q53" s="118">
        <f t="shared" si="7"/>
        <v>0.76785313187536097</v>
      </c>
      <c r="R53" s="119">
        <f t="shared" si="8"/>
        <v>222.67740824385467</v>
      </c>
      <c r="S53" s="118" t="str">
        <f t="shared" si="9"/>
        <v/>
      </c>
      <c r="T53" s="118">
        <f t="shared" si="10"/>
        <v>12.564732229827174</v>
      </c>
      <c r="U53" s="118">
        <f t="shared" si="11"/>
        <v>-12.887765606520695</v>
      </c>
      <c r="V53" s="118" t="e">
        <f t="shared" si="12"/>
        <v>#N/A</v>
      </c>
      <c r="W53" s="118" t="e">
        <f t="shared" si="13"/>
        <v>#N/A</v>
      </c>
      <c r="X53" s="118">
        <f>IF(OR(N53="",R53=""),NA(),10*LOG10((G53+'CMOS FOM coeff. calculation'!$Q$3)^'CMOS FOM coeff. calculation'!$P$3*(1000*E53)^'CMOS FOM coeff. calculation'!$N$3*R53^'CMOS FOM coeff. calculation'!$O$3*N53^'CMOS FOM coeff. calculation'!$M$3))</f>
        <v>15.797718783443138</v>
      </c>
      <c r="Y53" s="68"/>
    </row>
    <row r="54" spans="1:27">
      <c r="E54" s="1">
        <v>6.5000000000000002E-2</v>
      </c>
      <c r="F54" s="28">
        <v>0.8</v>
      </c>
      <c r="G54" s="28">
        <v>5.8</v>
      </c>
      <c r="H54" s="1">
        <v>-10</v>
      </c>
      <c r="I54" s="1">
        <v>2.57</v>
      </c>
      <c r="K54" s="1">
        <v>-11</v>
      </c>
      <c r="L54" s="1">
        <v>16.7</v>
      </c>
      <c r="M54" s="1">
        <v>1.2</v>
      </c>
      <c r="N54" s="1">
        <v>7.8</v>
      </c>
      <c r="P54" s="1">
        <v>0.59</v>
      </c>
      <c r="Q54" s="118">
        <f t="shared" si="7"/>
        <v>0.82480821291413231</v>
      </c>
      <c r="R54" s="119">
        <f t="shared" si="8"/>
        <v>239.19438174509838</v>
      </c>
      <c r="S54" s="118" t="str">
        <f t="shared" si="9"/>
        <v/>
      </c>
      <c r="T54" s="118">
        <f t="shared" si="10"/>
        <v>12.875480397221814</v>
      </c>
      <c r="U54" s="118">
        <f t="shared" si="11"/>
        <v>-13.198513773915336</v>
      </c>
      <c r="V54" s="118" t="e">
        <f t="shared" si="12"/>
        <v>#N/A</v>
      </c>
      <c r="W54" s="118" t="e">
        <f t="shared" si="13"/>
        <v>#N/A</v>
      </c>
      <c r="X54" s="118">
        <f>IF(OR(N54="",R54=""),NA(),10*LOG10((G54+'CMOS FOM coeff. calculation'!$Q$3)^'CMOS FOM coeff. calculation'!$P$3*(1000*E54)^'CMOS FOM coeff. calculation'!$N$3*R54^'CMOS FOM coeff. calculation'!$O$3*N54^'CMOS FOM coeff. calculation'!$M$3))</f>
        <v>15.518045432787964</v>
      </c>
      <c r="Y54" s="68"/>
    </row>
    <row r="55" spans="1:27">
      <c r="A55" t="s">
        <v>1811</v>
      </c>
      <c r="B55" s="8" t="s">
        <v>208</v>
      </c>
      <c r="C55" s="3" t="s">
        <v>209</v>
      </c>
      <c r="D55" s="7" t="s">
        <v>210</v>
      </c>
      <c r="E55" s="20">
        <v>0.09</v>
      </c>
      <c r="F55" s="27">
        <v>7.6</v>
      </c>
      <c r="G55" s="27">
        <v>6.4</v>
      </c>
      <c r="H55" s="1">
        <v>-9</v>
      </c>
      <c r="I55" s="1">
        <v>3</v>
      </c>
      <c r="J55" s="1">
        <v>-12</v>
      </c>
      <c r="L55" s="1">
        <v>12.5</v>
      </c>
      <c r="M55" s="1">
        <v>1.2</v>
      </c>
      <c r="N55" s="1">
        <v>7.2</v>
      </c>
      <c r="P55" s="1">
        <v>0.64</v>
      </c>
      <c r="Q55" s="118">
        <f t="shared" si="7"/>
        <v>1.0545648547614519</v>
      </c>
      <c r="R55" s="119">
        <f t="shared" si="8"/>
        <v>305.82380788082105</v>
      </c>
      <c r="S55" s="118">
        <f t="shared" si="9"/>
        <v>1.0589227198539444</v>
      </c>
      <c r="T55" s="118">
        <f t="shared" si="10"/>
        <v>11.657407971737888</v>
      </c>
      <c r="U55" s="118">
        <f t="shared" si="11"/>
        <v>-8.7213626641352509</v>
      </c>
      <c r="V55" s="118">
        <f t="shared" si="12"/>
        <v>-13.633710349697347</v>
      </c>
      <c r="W55" s="118">
        <f t="shared" si="13"/>
        <v>-10.697665042094711</v>
      </c>
      <c r="X55" s="118">
        <f>IF(OR(N55="",R55=""),NA(),10*LOG10((G55+'CMOS FOM coeff. calculation'!$Q$3)^'CMOS FOM coeff. calculation'!$P$3*(1000*E55)^'CMOS FOM coeff. calculation'!$N$3*R55^'CMOS FOM coeff. calculation'!$O$3*N55^'CMOS FOM coeff. calculation'!$M$3))</f>
        <v>15.873135357059684</v>
      </c>
      <c r="Y55" s="68"/>
      <c r="Z55" t="s">
        <v>211</v>
      </c>
      <c r="AA55" s="3" t="s">
        <v>5</v>
      </c>
    </row>
    <row r="56" spans="1:27">
      <c r="A56" t="s">
        <v>1812</v>
      </c>
      <c r="B56" s="14" t="s">
        <v>212</v>
      </c>
      <c r="C56" s="3" t="s">
        <v>213</v>
      </c>
      <c r="D56" s="7" t="s">
        <v>214</v>
      </c>
      <c r="E56" s="20">
        <v>0.18</v>
      </c>
      <c r="F56" s="22">
        <v>0.9</v>
      </c>
      <c r="G56" s="60">
        <v>2.4500000000000002</v>
      </c>
      <c r="H56" s="1">
        <v>-10</v>
      </c>
      <c r="I56" s="1">
        <v>2.2999999999999998</v>
      </c>
      <c r="J56" s="1">
        <v>-5.5</v>
      </c>
      <c r="L56" s="1">
        <v>10.4</v>
      </c>
      <c r="M56" s="1">
        <v>1.8</v>
      </c>
      <c r="N56" s="1">
        <v>13</v>
      </c>
      <c r="P56" s="1">
        <v>0.57920000000000005</v>
      </c>
      <c r="Q56" s="118">
        <f t="shared" si="7"/>
        <v>0.76831479452629314</v>
      </c>
      <c r="R56" s="119">
        <f t="shared" si="8"/>
        <v>222.811290412625</v>
      </c>
      <c r="S56" s="118">
        <f t="shared" si="9"/>
        <v>2.8084571393871456</v>
      </c>
      <c r="T56" s="118">
        <f t="shared" si="10"/>
        <v>9.9037958368361565</v>
      </c>
      <c r="U56" s="118">
        <f t="shared" si="11"/>
        <v>-10.05632080537174</v>
      </c>
      <c r="V56" s="118">
        <f t="shared" si="12"/>
        <v>-10.936842974822046</v>
      </c>
      <c r="W56" s="118">
        <f t="shared" si="13"/>
        <v>-11.08936794335763</v>
      </c>
      <c r="X56" s="118">
        <f>IF(OR(N56="",R56=""),NA(),10*LOG10((G56+'CMOS FOM coeff. calculation'!$Q$3)^'CMOS FOM coeff. calculation'!$P$3*(1000*E56)^'CMOS FOM coeff. calculation'!$N$3*R56^'CMOS FOM coeff. calculation'!$O$3*N56^'CMOS FOM coeff. calculation'!$M$3))</f>
        <v>16.855870843206734</v>
      </c>
      <c r="Y56" s="68"/>
      <c r="Z56" t="s">
        <v>215</v>
      </c>
      <c r="AA56" s="3" t="s">
        <v>5</v>
      </c>
    </row>
    <row r="57" spans="1:27">
      <c r="A57" t="s">
        <v>1599</v>
      </c>
      <c r="B57" s="8" t="s">
        <v>220</v>
      </c>
      <c r="C57" s="3" t="s">
        <v>221</v>
      </c>
      <c r="D57" s="7" t="s">
        <v>222</v>
      </c>
      <c r="E57" s="23">
        <v>0.18</v>
      </c>
      <c r="F57" s="27">
        <v>5.0000000000000001E-3</v>
      </c>
      <c r="G57" s="27">
        <v>0.4</v>
      </c>
      <c r="H57" s="1">
        <v>-15</v>
      </c>
      <c r="I57" s="1">
        <v>2.8</v>
      </c>
      <c r="K57" s="1">
        <v>-8.1</v>
      </c>
      <c r="L57" s="1">
        <v>20.2</v>
      </c>
      <c r="M57" s="1">
        <v>1</v>
      </c>
      <c r="N57" s="1">
        <v>0.15</v>
      </c>
      <c r="Q57" s="118">
        <f t="shared" si="7"/>
        <v>0.91419117591530052</v>
      </c>
      <c r="R57" s="119">
        <f t="shared" si="8"/>
        <v>265.11544101543717</v>
      </c>
      <c r="S57" s="118" t="str">
        <f t="shared" si="9"/>
        <v/>
      </c>
      <c r="T57" s="118">
        <f t="shared" si="10"/>
        <v>9.4466411034408146</v>
      </c>
      <c r="U57" s="118">
        <f t="shared" si="11"/>
        <v>-17.116741088987418</v>
      </c>
      <c r="V57" s="118" t="e">
        <f t="shared" si="12"/>
        <v>#N/A</v>
      </c>
      <c r="W57" s="118" t="e">
        <f t="shared" si="13"/>
        <v>#N/A</v>
      </c>
      <c r="X57" s="118">
        <f>IF(OR(N57="",R57=""),NA(),10*LOG10((G57+'CMOS FOM coeff. calculation'!$Q$3)^'CMOS FOM coeff. calculation'!$P$3*(1000*E57)^'CMOS FOM coeff. calculation'!$N$3*R57^'CMOS FOM coeff. calculation'!$O$3*N57^'CMOS FOM coeff. calculation'!$M$3))</f>
        <v>18.910866927072778</v>
      </c>
      <c r="Y57" s="68"/>
      <c r="Z57" t="s">
        <v>223</v>
      </c>
      <c r="AA57" s="3" t="s">
        <v>5</v>
      </c>
    </row>
    <row r="58" spans="1:27">
      <c r="A58" t="s">
        <v>1813</v>
      </c>
      <c r="B58" s="8" t="s">
        <v>224</v>
      </c>
      <c r="C58" s="3" t="s">
        <v>225</v>
      </c>
      <c r="D58" s="7" t="s">
        <v>226</v>
      </c>
      <c r="E58" s="31">
        <v>0.18</v>
      </c>
      <c r="F58" s="1">
        <v>7.2</v>
      </c>
      <c r="G58" s="1">
        <v>6.7</v>
      </c>
      <c r="H58" s="1">
        <v>-9</v>
      </c>
      <c r="I58" s="1">
        <v>2.5</v>
      </c>
      <c r="J58" s="6">
        <v>-12.5</v>
      </c>
      <c r="K58" s="6">
        <v>-3</v>
      </c>
      <c r="L58" s="1">
        <v>12.7</v>
      </c>
      <c r="N58" s="1">
        <v>13.4</v>
      </c>
      <c r="P58" s="1">
        <v>0.68</v>
      </c>
      <c r="Q58" s="118">
        <f t="shared" si="7"/>
        <v>0.82244745336922442</v>
      </c>
      <c r="R58" s="119">
        <f t="shared" si="8"/>
        <v>238.50976147707507</v>
      </c>
      <c r="S58" s="118">
        <f t="shared" si="9"/>
        <v>0.99089441553186453</v>
      </c>
      <c r="T58" s="118">
        <f t="shared" si="10"/>
        <v>7.3306321770608758</v>
      </c>
      <c r="U58" s="118">
        <f t="shared" si="11"/>
        <v>-4.472857188956648</v>
      </c>
      <c r="V58" s="118">
        <f t="shared" si="12"/>
        <v>-11.372047928198889</v>
      </c>
      <c r="W58" s="118">
        <f t="shared" si="13"/>
        <v>-8.51427294009466</v>
      </c>
      <c r="X58" s="118">
        <f>IF(OR(N58="",R58=""),NA(),10*LOG10((G58+'CMOS FOM coeff. calculation'!$Q$3)^'CMOS FOM coeff. calculation'!$P$3*(1000*E58)^'CMOS FOM coeff. calculation'!$N$3*R58^'CMOS FOM coeff. calculation'!$O$3*N58^'CMOS FOM coeff. calculation'!$M$3))</f>
        <v>18.538068238419001</v>
      </c>
      <c r="Y58" s="68"/>
      <c r="Z58" t="s">
        <v>227</v>
      </c>
      <c r="AA58" s="3" t="s">
        <v>35</v>
      </c>
    </row>
    <row r="59" spans="1:27">
      <c r="E59" s="1">
        <v>0.18</v>
      </c>
      <c r="F59" s="1">
        <v>15</v>
      </c>
      <c r="G59" s="1">
        <v>21.8</v>
      </c>
      <c r="H59" s="1">
        <v>-8.6</v>
      </c>
      <c r="I59" s="1">
        <v>4.3</v>
      </c>
      <c r="J59" s="6">
        <v>-12</v>
      </c>
      <c r="K59" s="6">
        <v>-2</v>
      </c>
      <c r="L59" s="1">
        <v>8.25</v>
      </c>
      <c r="N59" s="1">
        <v>13.9</v>
      </c>
      <c r="P59" s="1">
        <v>0.54</v>
      </c>
      <c r="Q59" s="118">
        <f t="shared" si="7"/>
        <v>1.9891600184560576</v>
      </c>
      <c r="R59" s="119">
        <f t="shared" si="8"/>
        <v>576.85640535225673</v>
      </c>
      <c r="S59" s="118">
        <f t="shared" si="9"/>
        <v>0.35860076898056292</v>
      </c>
      <c r="T59" s="118">
        <f t="shared" si="10"/>
        <v>7.8034031899769278</v>
      </c>
      <c r="U59" s="118">
        <f t="shared" si="11"/>
        <v>-3.8830989931246567</v>
      </c>
      <c r="V59" s="118">
        <f t="shared" si="12"/>
        <v>-15.077178464767929</v>
      </c>
      <c r="W59" s="118">
        <f t="shared" si="13"/>
        <v>-11.156874267915658</v>
      </c>
      <c r="X59" s="118">
        <f>IF(OR(N59="",R59=""),NA(),10*LOG10((G59+'CMOS FOM coeff. calculation'!$Q$3)^'CMOS FOM coeff. calculation'!$P$3*(1000*E59)^'CMOS FOM coeff. calculation'!$N$3*R59^'CMOS FOM coeff. calculation'!$O$3*N59^'CMOS FOM coeff. calculation'!$M$3))</f>
        <v>19.77731847638584</v>
      </c>
      <c r="Y59" s="68"/>
      <c r="Z59" s="4"/>
      <c r="AA59" s="3" t="s">
        <v>5</v>
      </c>
    </row>
    <row r="60" spans="1:27">
      <c r="A60" t="s">
        <v>1614</v>
      </c>
      <c r="B60" s="8" t="s">
        <v>228</v>
      </c>
      <c r="C60" s="3" t="s">
        <v>229</v>
      </c>
      <c r="D60" s="7" t="s">
        <v>230</v>
      </c>
      <c r="E60" s="6">
        <v>0.13</v>
      </c>
      <c r="F60" s="1">
        <v>9.6</v>
      </c>
      <c r="G60" s="1">
        <v>5.8</v>
      </c>
      <c r="H60" s="1">
        <v>-8</v>
      </c>
      <c r="I60" s="1">
        <v>3.9</v>
      </c>
      <c r="J60" s="6">
        <v>-19.600000000000001</v>
      </c>
      <c r="K60" s="6">
        <v>-9.1999999999999993</v>
      </c>
      <c r="L60" s="1">
        <v>16</v>
      </c>
      <c r="N60" s="1">
        <v>18</v>
      </c>
      <c r="O60" s="1">
        <v>0.5</v>
      </c>
      <c r="P60" s="1">
        <v>1</v>
      </c>
      <c r="Q60" s="118">
        <f t="shared" si="7"/>
        <v>1.492191060465051</v>
      </c>
      <c r="R60" s="119">
        <f t="shared" si="8"/>
        <v>432.73540753486481</v>
      </c>
      <c r="S60" s="118">
        <f t="shared" si="9"/>
        <v>0.42555105027873413</v>
      </c>
      <c r="T60" s="118">
        <f t="shared" si="10"/>
        <v>12.647054701060412</v>
      </c>
      <c r="U60" s="118">
        <f t="shared" si="11"/>
        <v>-9.3728172575951838</v>
      </c>
      <c r="V60" s="118">
        <f t="shared" si="12"/>
        <v>-17.659361981934797</v>
      </c>
      <c r="W60" s="118">
        <f t="shared" si="13"/>
        <v>-14.385124538469569</v>
      </c>
      <c r="X60" s="118">
        <f>IF(OR(N60="",R60=""),NA(),10*LOG10((G60+'CMOS FOM coeff. calculation'!$Q$3)^'CMOS FOM coeff. calculation'!$P$3*(1000*E60)^'CMOS FOM coeff. calculation'!$N$3*R60^'CMOS FOM coeff. calculation'!$O$3*N60^'CMOS FOM coeff. calculation'!$M$3))</f>
        <v>14.581656483426146</v>
      </c>
      <c r="Y60" s="68"/>
      <c r="Z60" t="s">
        <v>231</v>
      </c>
      <c r="AA60" s="3" t="s">
        <v>5</v>
      </c>
    </row>
    <row r="61" spans="1:27">
      <c r="A61" t="s">
        <v>1614</v>
      </c>
      <c r="B61" s="33" t="s">
        <v>232</v>
      </c>
      <c r="C61" s="3" t="s">
        <v>233</v>
      </c>
      <c r="D61" s="7" t="s">
        <v>234</v>
      </c>
      <c r="E61" s="6">
        <v>0.09</v>
      </c>
      <c r="F61" s="1">
        <v>1.67</v>
      </c>
      <c r="G61" s="1">
        <v>0.93500000000000005</v>
      </c>
      <c r="H61" s="1">
        <v>-10</v>
      </c>
      <c r="I61" s="1">
        <v>1.85</v>
      </c>
      <c r="J61" s="6"/>
      <c r="K61" s="1">
        <v>-2.85</v>
      </c>
      <c r="L61" s="1">
        <v>23</v>
      </c>
      <c r="M61" s="1">
        <v>2</v>
      </c>
      <c r="N61" s="1">
        <v>2.8</v>
      </c>
      <c r="O61" s="1">
        <v>0.03</v>
      </c>
      <c r="P61" s="1">
        <v>1</v>
      </c>
      <c r="Q61" s="118">
        <f t="shared" si="7"/>
        <v>0.53376261174999673</v>
      </c>
      <c r="R61" s="119">
        <f t="shared" si="8"/>
        <v>154.79115740749904</v>
      </c>
      <c r="S61" s="118" t="str">
        <f t="shared" si="9"/>
        <v/>
      </c>
      <c r="T61" s="118">
        <f t="shared" si="10"/>
        <v>12.902030736166591</v>
      </c>
      <c r="U61" s="118">
        <f t="shared" si="11"/>
        <v>-12.15964249900798</v>
      </c>
      <c r="V61" s="118" t="e">
        <f t="shared" si="12"/>
        <v>#N/A</v>
      </c>
      <c r="W61" s="118" t="e">
        <f t="shared" si="13"/>
        <v>#N/A</v>
      </c>
      <c r="X61" s="118">
        <f>IF(OR(N61="",R61=""),NA(),10*LOG10((G61+'CMOS FOM coeff. calculation'!$Q$3)^'CMOS FOM coeff. calculation'!$P$3*(1000*E61)^'CMOS FOM coeff. calculation'!$N$3*R61^'CMOS FOM coeff. calculation'!$O$3*N61^'CMOS FOM coeff. calculation'!$M$3))</f>
        <v>16.677314681121786</v>
      </c>
      <c r="Y61" s="68"/>
      <c r="Z61" t="s">
        <v>235</v>
      </c>
      <c r="AA61" s="3" t="s">
        <v>5</v>
      </c>
    </row>
    <row r="62" spans="1:27">
      <c r="A62" t="s">
        <v>1614</v>
      </c>
      <c r="B62" s="8" t="s">
        <v>236</v>
      </c>
      <c r="C62" s="3" t="s">
        <v>204</v>
      </c>
      <c r="D62" s="7" t="s">
        <v>237</v>
      </c>
      <c r="E62" s="6">
        <v>6.5000000000000002E-2</v>
      </c>
      <c r="F62" s="1">
        <v>1</v>
      </c>
      <c r="G62" s="1">
        <v>24</v>
      </c>
      <c r="H62" s="1">
        <v>-16</v>
      </c>
      <c r="I62" s="1">
        <v>2.7</v>
      </c>
      <c r="K62" s="1">
        <v>-5.4</v>
      </c>
      <c r="L62" s="1">
        <v>15.2</v>
      </c>
      <c r="M62" s="1">
        <v>1.2</v>
      </c>
      <c r="N62" s="1">
        <v>7</v>
      </c>
      <c r="Q62" s="118">
        <f t="shared" si="7"/>
        <v>0.88893246802417569</v>
      </c>
      <c r="R62" s="119">
        <f t="shared" si="8"/>
        <v>257.79041572701095</v>
      </c>
      <c r="S62" s="118" t="str">
        <f t="shared" si="9"/>
        <v/>
      </c>
      <c r="T62" s="118">
        <f t="shared" si="10"/>
        <v>8.9320947898747018</v>
      </c>
      <c r="U62" s="118">
        <f t="shared" si="11"/>
        <v>-8.9320947898747018</v>
      </c>
      <c r="V62" s="118" t="e">
        <f t="shared" si="12"/>
        <v>#N/A</v>
      </c>
      <c r="W62" s="118" t="e">
        <f t="shared" si="13"/>
        <v>#N/A</v>
      </c>
      <c r="X62" s="118">
        <f>IF(OR(N62="",R62=""),NA(),10*LOG10((G62+'CMOS FOM coeff. calculation'!$Q$3)^'CMOS FOM coeff. calculation'!$P$3*(1000*E62)^'CMOS FOM coeff. calculation'!$N$3*R62^'CMOS FOM coeff. calculation'!$O$3*N62^'CMOS FOM coeff. calculation'!$M$3))</f>
        <v>20.940063772786679</v>
      </c>
      <c r="Y62" s="68"/>
      <c r="Z62" t="s">
        <v>238</v>
      </c>
      <c r="AA62" s="3" t="s">
        <v>147</v>
      </c>
    </row>
    <row r="63" spans="1:27">
      <c r="D63" s="13"/>
      <c r="E63" s="1">
        <v>6.5000000000000002E-2</v>
      </c>
      <c r="F63" s="1">
        <v>0.9</v>
      </c>
      <c r="G63" s="1">
        <v>24</v>
      </c>
      <c r="H63" s="1">
        <v>-11.5</v>
      </c>
      <c r="I63" s="1">
        <v>2.8</v>
      </c>
      <c r="K63" s="1">
        <v>-4.9000000000000004</v>
      </c>
      <c r="L63" s="1">
        <v>14.3</v>
      </c>
      <c r="M63" s="1">
        <v>1.2</v>
      </c>
      <c r="N63" s="1">
        <v>7</v>
      </c>
      <c r="P63" s="1">
        <v>0.22</v>
      </c>
      <c r="Q63" s="118">
        <f t="shared" si="7"/>
        <v>0.94039988669797592</v>
      </c>
      <c r="R63" s="119">
        <f t="shared" si="8"/>
        <v>272.71596714241304</v>
      </c>
      <c r="S63" s="118" t="str">
        <f t="shared" si="9"/>
        <v/>
      </c>
      <c r="T63" s="118">
        <f t="shared" si="10"/>
        <v>9.1765327813442461</v>
      </c>
      <c r="U63" s="118">
        <f t="shared" si="11"/>
        <v>-9.3290577498798299</v>
      </c>
      <c r="V63" s="118" t="e">
        <f t="shared" si="12"/>
        <v>#N/A</v>
      </c>
      <c r="W63" s="118" t="e">
        <f t="shared" si="13"/>
        <v>#N/A</v>
      </c>
      <c r="X63" s="118">
        <f>IF(OR(N63="",R63=""),NA(),10*LOG10((G63+'CMOS FOM coeff. calculation'!$Q$3)^'CMOS FOM coeff. calculation'!$P$3*(1000*E63)^'CMOS FOM coeff. calculation'!$N$3*R63^'CMOS FOM coeff. calculation'!$O$3*N63^'CMOS FOM coeff. calculation'!$M$3))</f>
        <v>20.720069580464088</v>
      </c>
      <c r="Y63" s="68"/>
    </row>
    <row r="64" spans="1:27">
      <c r="D64" s="4"/>
      <c r="E64" s="1">
        <v>6.5000000000000002E-2</v>
      </c>
      <c r="F64" s="1">
        <v>1</v>
      </c>
      <c r="G64" s="1">
        <v>24</v>
      </c>
      <c r="H64" s="1">
        <v>-12</v>
      </c>
      <c r="I64" s="1">
        <v>3.2</v>
      </c>
      <c r="K64" s="1">
        <v>-4.5999999999999996</v>
      </c>
      <c r="L64" s="1">
        <v>13.7</v>
      </c>
      <c r="M64" s="1">
        <v>1.2</v>
      </c>
      <c r="N64" s="1">
        <v>7</v>
      </c>
      <c r="P64" s="1">
        <v>0.22</v>
      </c>
      <c r="Q64" s="118">
        <f t="shared" si="7"/>
        <v>1.1378337899117128</v>
      </c>
      <c r="R64" s="119">
        <f t="shared" si="8"/>
        <v>329.9717990743967</v>
      </c>
      <c r="S64" s="118" t="str">
        <f t="shared" si="9"/>
        <v/>
      </c>
      <c r="T64" s="118">
        <f t="shared" si="10"/>
        <v>10.004195367438856</v>
      </c>
      <c r="U64" s="118">
        <f t="shared" si="11"/>
        <v>-10.004195367438856</v>
      </c>
      <c r="V64" s="118" t="e">
        <f t="shared" si="12"/>
        <v>#N/A</v>
      </c>
      <c r="W64" s="118" t="e">
        <f t="shared" si="13"/>
        <v>#N/A</v>
      </c>
      <c r="X64" s="118">
        <f>IF(OR(N64="",R64=""),NA(),10*LOG10((G64+'CMOS FOM coeff. calculation'!$Q$3)^'CMOS FOM coeff. calculation'!$P$3*(1000*E64)^'CMOS FOM coeff. calculation'!$N$3*R64^'CMOS FOM coeff. calculation'!$O$3*N64^'CMOS FOM coeff. calculation'!$M$3))</f>
        <v>19.975173252978944</v>
      </c>
      <c r="Y64" s="68"/>
    </row>
    <row r="65" spans="1:27">
      <c r="A65" t="s">
        <v>1614</v>
      </c>
      <c r="B65" s="8" t="s">
        <v>239</v>
      </c>
      <c r="C65" s="3" t="s">
        <v>240</v>
      </c>
      <c r="D65" s="7" t="s">
        <v>241</v>
      </c>
      <c r="E65" s="6">
        <v>0.09</v>
      </c>
      <c r="F65" s="1">
        <v>22</v>
      </c>
      <c r="G65" s="1">
        <v>53</v>
      </c>
      <c r="H65" s="1">
        <v>-10</v>
      </c>
      <c r="I65" s="1">
        <v>4.7</v>
      </c>
      <c r="J65" s="1">
        <v>-10</v>
      </c>
      <c r="K65" s="1">
        <v>-2.5</v>
      </c>
      <c r="L65" s="1">
        <v>12.7</v>
      </c>
      <c r="M65" s="1">
        <v>3</v>
      </c>
      <c r="N65" s="1">
        <v>18</v>
      </c>
      <c r="O65" s="6" t="s">
        <v>5</v>
      </c>
      <c r="P65" s="1">
        <v>0.189</v>
      </c>
      <c r="Q65" s="118">
        <f t="shared" si="7"/>
        <v>2.0619420721692303</v>
      </c>
      <c r="R65" s="119">
        <f t="shared" si="8"/>
        <v>597.96320092907683</v>
      </c>
      <c r="S65" s="118">
        <f t="shared" si="9"/>
        <v>1.7620871366628681</v>
      </c>
      <c r="T65" s="118">
        <f t="shared" si="10"/>
        <v>9.7752670284240555</v>
      </c>
      <c r="U65" s="118">
        <f t="shared" si="11"/>
        <v>-5.3005247590167013</v>
      </c>
      <c r="V65" s="118">
        <f t="shared" si="12"/>
        <v>-15.401145372810333</v>
      </c>
      <c r="W65" s="118">
        <f t="shared" si="13"/>
        <v>-10.926403103402979</v>
      </c>
      <c r="X65" s="118">
        <f>IF(OR(N65="",R65=""),NA(),10*LOG10((G65+'CMOS FOM coeff. calculation'!$Q$3)^'CMOS FOM coeff. calculation'!$P$3*(1000*E65)^'CMOS FOM coeff. calculation'!$N$3*R65^'CMOS FOM coeff. calculation'!$O$3*N65^'CMOS FOM coeff. calculation'!$M$3))</f>
        <v>22.7264678947062</v>
      </c>
      <c r="Y65" s="68"/>
      <c r="Z65" t="s">
        <v>244</v>
      </c>
      <c r="AA65" s="3" t="s">
        <v>243</v>
      </c>
    </row>
    <row r="66" spans="1:27">
      <c r="E66" s="1">
        <v>0.09</v>
      </c>
      <c r="F66" s="1">
        <v>12</v>
      </c>
      <c r="G66" s="1">
        <v>38</v>
      </c>
      <c r="H66" s="6">
        <v>-7</v>
      </c>
      <c r="I66" s="1">
        <v>4.5999999999999996</v>
      </c>
      <c r="J66" s="1">
        <v>-17</v>
      </c>
      <c r="L66" s="1">
        <v>20.3</v>
      </c>
      <c r="M66" s="1">
        <v>3</v>
      </c>
      <c r="N66" s="1">
        <v>15</v>
      </c>
      <c r="O66" s="6" t="s">
        <v>5</v>
      </c>
      <c r="P66" s="1">
        <v>0.21199999999999999</v>
      </c>
      <c r="Q66" s="118">
        <f t="shared" si="7"/>
        <v>1.9017799462668359</v>
      </c>
      <c r="R66" s="119">
        <f t="shared" si="8"/>
        <v>551.51618441738242</v>
      </c>
      <c r="S66" s="118">
        <f t="shared" si="9"/>
        <v>2.1180094663525453</v>
      </c>
      <c r="T66" s="118">
        <f t="shared" si="10"/>
        <v>10.123449395951775</v>
      </c>
      <c r="U66" s="118">
        <f t="shared" si="11"/>
        <v>-6.5261785757930255</v>
      </c>
      <c r="V66" s="118">
        <f t="shared" si="12"/>
        <v>-14.73741429020323</v>
      </c>
      <c r="W66" s="118">
        <f t="shared" si="13"/>
        <v>-11.14014347004448</v>
      </c>
      <c r="X66" s="118">
        <f>IF(OR(N66="",R66=""),NA(),10*LOG10((G66+'CMOS FOM coeff. calculation'!$Q$3)^'CMOS FOM coeff. calculation'!$P$3*(1000*E66)^'CMOS FOM coeff. calculation'!$N$3*R66^'CMOS FOM coeff. calculation'!$O$3*N66^'CMOS FOM coeff. calculation'!$M$3))</f>
        <v>21.006900754756238</v>
      </c>
      <c r="Y66" s="68"/>
    </row>
    <row r="67" spans="1:27">
      <c r="A67" t="s">
        <v>1616</v>
      </c>
      <c r="B67" s="8" t="s">
        <v>245</v>
      </c>
      <c r="C67" s="3" t="s">
        <v>246</v>
      </c>
      <c r="D67" s="7" t="s">
        <v>247</v>
      </c>
      <c r="E67" s="34">
        <v>6.5000000000000002E-2</v>
      </c>
      <c r="F67" s="1">
        <v>10</v>
      </c>
      <c r="G67" s="27">
        <v>60</v>
      </c>
      <c r="H67" s="1">
        <v>-10</v>
      </c>
      <c r="I67" s="1">
        <v>6.5</v>
      </c>
      <c r="J67" s="1">
        <v>-12</v>
      </c>
      <c r="L67" s="1">
        <v>12.2</v>
      </c>
      <c r="M67" s="1">
        <v>1</v>
      </c>
      <c r="N67" s="1">
        <v>30</v>
      </c>
      <c r="Q67" s="118">
        <f t="shared" ref="Q67:Q98" si="14">IF(OR(I67="",L67=""),"",(10^(I67/10)-1)*10^(L67/10)/(10^(L67/10)-1))</f>
        <v>3.6891278569559049</v>
      </c>
      <c r="R67" s="119">
        <f t="shared" ref="R67:R98" si="15">IF(Q67="","",290*Q67)</f>
        <v>1069.8470785172124</v>
      </c>
      <c r="S67" s="118">
        <f t="shared" ref="S67:S98" si="16">IF(OR(J67="",L67=""),"",10^(J67/10)*(10^(L67/10)-1))</f>
        <v>0.98403281360288053</v>
      </c>
      <c r="T67" s="118">
        <f t="shared" ref="T67:T98" si="17">IF(OR(Q67="",N67="",E67="",G67=""),NA(),10*LOG10(Q67*N67^(1/3)*E67^(-4/3)*G67^(-2/3)))</f>
        <v>14.566454829608663</v>
      </c>
      <c r="U67" s="118">
        <f t="shared" ref="U67:U98" si="18">IF(OR(ISNA(T67),F67=""),NA(),10*LOG10(F67^(1/3))-T67)</f>
        <v>-11.233121496275329</v>
      </c>
      <c r="V67" s="118">
        <f t="shared" ref="V67:V98" si="19">IF(OR(ISNA(T67),S67=""),NA(),10*LOG10(S67^(1/3)*E67*G67^(1/3)/Q67/N67^(2/3)))</f>
        <v>-21.48370909984148</v>
      </c>
      <c r="W67" s="118">
        <f t="shared" ref="W67:W98" si="20">IF(OR(ISNA(V67),F67=""),NA(),V67+10*LOG10(F67^(1/3)))</f>
        <v>-18.150375766508148</v>
      </c>
      <c r="X67" s="118">
        <f>IF(OR(N67="",R67=""),NA(),10*LOG10((G67+'CMOS FOM coeff. calculation'!$Q$3)^'CMOS FOM coeff. calculation'!$P$3*(1000*E67)^'CMOS FOM coeff. calculation'!$N$3*R67^'CMOS FOM coeff. calculation'!$O$3*N67^'CMOS FOM coeff. calculation'!$M$3))</f>
        <v>19.880333747045661</v>
      </c>
      <c r="Y67" s="68"/>
      <c r="Z67" t="s">
        <v>248</v>
      </c>
      <c r="AA67" s="3" t="s">
        <v>147</v>
      </c>
    </row>
    <row r="68" spans="1:27">
      <c r="E68" s="34">
        <v>6.5000000000000002E-2</v>
      </c>
      <c r="F68" s="19">
        <v>9.5</v>
      </c>
      <c r="G68" s="19">
        <v>59.75</v>
      </c>
      <c r="H68" s="1">
        <v>-10</v>
      </c>
      <c r="I68" s="1">
        <v>7.5</v>
      </c>
      <c r="J68" s="1">
        <v>-11</v>
      </c>
      <c r="L68" s="1">
        <v>11.1</v>
      </c>
      <c r="M68" s="1">
        <v>1</v>
      </c>
      <c r="N68" s="1">
        <v>30</v>
      </c>
      <c r="P68" s="1">
        <v>0.34</v>
      </c>
      <c r="Q68" s="118">
        <f t="shared" si="14"/>
        <v>5.0125077182397595</v>
      </c>
      <c r="R68" s="119">
        <f t="shared" si="15"/>
        <v>1453.6272382895302</v>
      </c>
      <c r="S68" s="118">
        <f t="shared" si="16"/>
        <v>0.94386016880832546</v>
      </c>
      <c r="T68" s="118">
        <f t="shared" si="17"/>
        <v>15.909857239896596</v>
      </c>
      <c r="U68" s="118">
        <f t="shared" si="18"/>
        <v>-12.650778555600436</v>
      </c>
      <c r="V68" s="118">
        <f t="shared" si="19"/>
        <v>-22.881406779456523</v>
      </c>
      <c r="W68" s="118">
        <f t="shared" si="20"/>
        <v>-19.622328095160363</v>
      </c>
      <c r="X68" s="118">
        <f>IF(OR(N68="",R68=""),NA(),10*LOG10((G68+'CMOS FOM coeff. calculation'!$Q$3)^'CMOS FOM coeff. calculation'!$P$3*(1000*E68)^'CMOS FOM coeff. calculation'!$N$3*R68^'CMOS FOM coeff. calculation'!$O$3*N68^'CMOS FOM coeff. calculation'!$M$3))</f>
        <v>18.652837083445014</v>
      </c>
      <c r="Y68" s="68"/>
    </row>
    <row r="69" spans="1:27">
      <c r="E69" s="34">
        <v>6.5000000000000002E-2</v>
      </c>
      <c r="F69" s="28">
        <v>10.5</v>
      </c>
      <c r="G69" s="28">
        <v>59.75</v>
      </c>
      <c r="H69" s="1">
        <v>-10</v>
      </c>
      <c r="I69" s="1">
        <v>8.6</v>
      </c>
      <c r="J69" s="1">
        <v>-11</v>
      </c>
      <c r="L69" s="1">
        <v>10.199999999999999</v>
      </c>
      <c r="M69" s="1">
        <v>1</v>
      </c>
      <c r="N69" s="1">
        <v>30</v>
      </c>
      <c r="P69" s="1">
        <v>0.34</v>
      </c>
      <c r="Q69" s="118">
        <f t="shared" si="14"/>
        <v>6.9036533802057312</v>
      </c>
      <c r="R69" s="119">
        <f t="shared" si="15"/>
        <v>2002.059480259662</v>
      </c>
      <c r="S69" s="118">
        <f t="shared" si="16"/>
        <v>0.75233094763024266</v>
      </c>
      <c r="T69" s="118">
        <f t="shared" si="17"/>
        <v>17.300096477598384</v>
      </c>
      <c r="U69" s="118">
        <f t="shared" si="18"/>
        <v>-13.896132147365257</v>
      </c>
      <c r="V69" s="118">
        <f t="shared" si="19"/>
        <v>-24.599975123617732</v>
      </c>
      <c r="W69" s="118">
        <f t="shared" si="20"/>
        <v>-21.196010793384605</v>
      </c>
      <c r="X69" s="118">
        <f>IF(OR(N69="",R69=""),NA(),10*LOG10((G69+'CMOS FOM coeff. calculation'!$Q$3)^'CMOS FOM coeff. calculation'!$P$3*(1000*E69)^'CMOS FOM coeff. calculation'!$N$3*R69^'CMOS FOM coeff. calculation'!$O$3*N69^'CMOS FOM coeff. calculation'!$M$3))</f>
        <v>17.401621769513408</v>
      </c>
      <c r="Y69" s="68"/>
    </row>
    <row r="70" spans="1:27">
      <c r="A70" t="s">
        <v>1616</v>
      </c>
      <c r="B70" s="8" t="s">
        <v>249</v>
      </c>
      <c r="C70" s="3" t="s">
        <v>250</v>
      </c>
      <c r="D70" s="7" t="s">
        <v>251</v>
      </c>
      <c r="E70" s="34">
        <v>6.5000000000000002E-2</v>
      </c>
      <c r="F70" s="23">
        <v>6</v>
      </c>
      <c r="G70" s="21">
        <v>60</v>
      </c>
      <c r="H70" s="1">
        <v>-5</v>
      </c>
      <c r="I70" s="1">
        <v>3.7</v>
      </c>
      <c r="J70" s="1">
        <v>-4.5999999999999996</v>
      </c>
      <c r="K70" s="1">
        <v>4</v>
      </c>
      <c r="L70" s="1">
        <v>8</v>
      </c>
      <c r="M70" s="1">
        <v>1.2</v>
      </c>
      <c r="N70" s="1">
        <v>35</v>
      </c>
      <c r="O70" s="1">
        <v>5.6099999999999997E-2</v>
      </c>
      <c r="P70" s="1">
        <v>0.94079999999999997</v>
      </c>
      <c r="Q70" s="118">
        <f t="shared" si="14"/>
        <v>1.5973995886964387</v>
      </c>
      <c r="R70" s="119">
        <f t="shared" si="15"/>
        <v>463.24588072196724</v>
      </c>
      <c r="S70" s="118">
        <f t="shared" si="16"/>
        <v>1.8410247734970218</v>
      </c>
      <c r="T70" s="118">
        <f t="shared" si="17"/>
        <v>11.154509406101216</v>
      </c>
      <c r="U70" s="118">
        <f t="shared" si="18"/>
        <v>-8.5606719048224029</v>
      </c>
      <c r="V70" s="118">
        <f t="shared" si="19"/>
        <v>-17.388086135465848</v>
      </c>
      <c r="W70" s="118">
        <f t="shared" si="20"/>
        <v>-14.794248634187035</v>
      </c>
      <c r="X70" s="118">
        <f>IF(OR(N70="",R70=""),NA(),10*LOG10((G70+'CMOS FOM coeff. calculation'!$Q$3)^'CMOS FOM coeff. calculation'!$P$3*(1000*E70)^'CMOS FOM coeff. calculation'!$N$3*R70^'CMOS FOM coeff. calculation'!$O$3*N70^'CMOS FOM coeff. calculation'!$M$3))</f>
        <v>23.018031417832976</v>
      </c>
      <c r="Y70" s="68"/>
      <c r="Z70" t="s">
        <v>252</v>
      </c>
      <c r="AA70" s="3" t="s">
        <v>5</v>
      </c>
    </row>
    <row r="71" spans="1:27">
      <c r="A71" t="s">
        <v>1620</v>
      </c>
      <c r="B71" s="8" t="s">
        <v>253</v>
      </c>
      <c r="C71" s="3" t="s">
        <v>254</v>
      </c>
      <c r="D71" s="7" t="s">
        <v>255</v>
      </c>
      <c r="E71" s="6">
        <v>0.18</v>
      </c>
      <c r="F71" s="32">
        <v>0.68</v>
      </c>
      <c r="G71" s="32">
        <v>0.66</v>
      </c>
      <c r="H71" s="1">
        <v>-10</v>
      </c>
      <c r="I71" s="1">
        <v>2.2000000000000002</v>
      </c>
      <c r="K71" s="1">
        <v>0</v>
      </c>
      <c r="L71" s="1">
        <v>23.5</v>
      </c>
      <c r="M71" s="1">
        <v>1.8</v>
      </c>
      <c r="N71" s="1">
        <v>15.3</v>
      </c>
      <c r="O71" s="1">
        <v>0.105</v>
      </c>
      <c r="Q71" s="118">
        <f t="shared" si="14"/>
        <v>0.66254639346756838</v>
      </c>
      <c r="R71" s="119">
        <f t="shared" si="15"/>
        <v>192.13845410559483</v>
      </c>
      <c r="S71" s="118" t="str">
        <f t="shared" si="16"/>
        <v/>
      </c>
      <c r="T71" s="118">
        <f t="shared" si="17"/>
        <v>13.293874740375134</v>
      </c>
      <c r="U71" s="118">
        <f t="shared" si="18"/>
        <v>-13.852178364687679</v>
      </c>
      <c r="V71" s="118" t="e">
        <f t="shared" si="19"/>
        <v>#N/A</v>
      </c>
      <c r="W71" s="118" t="e">
        <f t="shared" si="20"/>
        <v>#N/A</v>
      </c>
      <c r="X71" s="118">
        <f>IF(OR(N71="",R71=""),NA(),10*LOG10((G71+'CMOS FOM coeff. calculation'!$Q$3)^'CMOS FOM coeff. calculation'!$P$3*(1000*E71)^'CMOS FOM coeff. calculation'!$N$3*R71^'CMOS FOM coeff. calculation'!$O$3*N71^'CMOS FOM coeff. calculation'!$M$3))</f>
        <v>16.30537223311276</v>
      </c>
      <c r="Y71" s="68"/>
      <c r="Z71" t="s">
        <v>256</v>
      </c>
      <c r="AA71" s="3" t="s">
        <v>5</v>
      </c>
    </row>
    <row r="72" spans="1:27">
      <c r="A72" t="s">
        <v>1633</v>
      </c>
      <c r="B72" s="8" t="s">
        <v>257</v>
      </c>
      <c r="C72" s="3" t="s">
        <v>258</v>
      </c>
      <c r="D72" s="7" t="s">
        <v>259</v>
      </c>
      <c r="E72" s="31">
        <v>0.09</v>
      </c>
      <c r="F72" s="1">
        <v>5</v>
      </c>
      <c r="G72" s="1">
        <v>60</v>
      </c>
      <c r="H72" s="1">
        <v>-10</v>
      </c>
      <c r="I72" s="1">
        <v>4.0999999999999996</v>
      </c>
      <c r="J72" s="1">
        <v>-19.8</v>
      </c>
      <c r="K72" s="1">
        <v>0</v>
      </c>
      <c r="L72" s="1">
        <v>11.3</v>
      </c>
      <c r="M72" s="1">
        <v>1.2</v>
      </c>
      <c r="N72" s="1">
        <v>10.8</v>
      </c>
      <c r="P72" s="1">
        <v>0.27</v>
      </c>
      <c r="Q72" s="118">
        <f t="shared" si="14"/>
        <v>1.6961317677734962</v>
      </c>
      <c r="R72" s="119">
        <f t="shared" si="15"/>
        <v>491.87821265431387</v>
      </c>
      <c r="S72" s="118">
        <f t="shared" si="16"/>
        <v>0.1307824689817664</v>
      </c>
      <c r="T72" s="118">
        <f t="shared" si="17"/>
        <v>7.8284332735272439</v>
      </c>
      <c r="U72" s="118">
        <f t="shared" si="18"/>
        <v>-5.4985332590738487</v>
      </c>
      <c r="V72" s="118">
        <f t="shared" si="19"/>
        <v>-16.659326551397399</v>
      </c>
      <c r="W72" s="118">
        <f t="shared" si="20"/>
        <v>-14.329426536944004</v>
      </c>
      <c r="X72" s="118">
        <f>IF(OR(N72="",R72=""),NA(),10*LOG10((G72+'CMOS FOM coeff. calculation'!$Q$3)^'CMOS FOM coeff. calculation'!$P$3*(1000*E72)^'CMOS FOM coeff. calculation'!$N$3*R72^'CMOS FOM coeff. calculation'!$O$3*N72^'CMOS FOM coeff. calculation'!$M$3))</f>
        <v>24.794209884303879</v>
      </c>
      <c r="Y72" s="68"/>
      <c r="Z72" t="s">
        <v>260</v>
      </c>
      <c r="AA72" s="3" t="s">
        <v>243</v>
      </c>
    </row>
    <row r="73" spans="1:27">
      <c r="E73" s="32">
        <v>0.09</v>
      </c>
      <c r="F73" s="1">
        <v>15</v>
      </c>
      <c r="G73" s="1">
        <v>61.5</v>
      </c>
      <c r="H73" s="1">
        <v>-8</v>
      </c>
      <c r="I73" s="1">
        <v>3.78</v>
      </c>
      <c r="J73" s="1">
        <v>-11.5</v>
      </c>
      <c r="K73" s="1">
        <v>11</v>
      </c>
      <c r="L73" s="1">
        <v>13.2</v>
      </c>
      <c r="M73" s="1">
        <v>2.4</v>
      </c>
      <c r="N73" s="1">
        <v>14.4</v>
      </c>
      <c r="P73" s="1">
        <v>0.3</v>
      </c>
      <c r="Q73" s="118">
        <f t="shared" si="14"/>
        <v>1.4575752190807594</v>
      </c>
      <c r="R73" s="119">
        <f t="shared" si="15"/>
        <v>422.6968135334202</v>
      </c>
      <c r="S73" s="118">
        <f t="shared" si="16"/>
        <v>1.4083138097297934</v>
      </c>
      <c r="T73" s="118">
        <f t="shared" si="17"/>
        <v>7.5151171697675379</v>
      </c>
      <c r="U73" s="118">
        <f t="shared" si="18"/>
        <v>-3.5948129729152667</v>
      </c>
      <c r="V73" s="118">
        <f t="shared" si="19"/>
        <v>-13.357719434342943</v>
      </c>
      <c r="W73" s="118">
        <f t="shared" si="20"/>
        <v>-9.4374152374906721</v>
      </c>
      <c r="X73" s="118">
        <f>IF(OR(N73="",R73=""),NA(),10*LOG10((G73+'CMOS FOM coeff. calculation'!$Q$3)^'CMOS FOM coeff. calculation'!$P$3*(1000*E73)^'CMOS FOM coeff. calculation'!$N$3*R73^'CMOS FOM coeff. calculation'!$O$3*N73^'CMOS FOM coeff. calculation'!$M$3))</f>
        <v>25.310629406366193</v>
      </c>
      <c r="Y73" s="68"/>
    </row>
    <row r="74" spans="1:27">
      <c r="A74" t="s">
        <v>1636</v>
      </c>
      <c r="B74" s="8" t="s">
        <v>261</v>
      </c>
      <c r="C74" s="3" t="s">
        <v>262</v>
      </c>
      <c r="D74" s="7" t="s">
        <v>263</v>
      </c>
      <c r="E74" s="6">
        <v>0.13</v>
      </c>
      <c r="F74" s="1">
        <v>1.9</v>
      </c>
      <c r="G74" s="1">
        <v>1.05</v>
      </c>
      <c r="H74" s="1">
        <v>-10</v>
      </c>
      <c r="I74" s="1">
        <v>4.1500000000000004</v>
      </c>
      <c r="K74" s="1">
        <v>0.5</v>
      </c>
      <c r="L74" s="1">
        <v>7.6</v>
      </c>
      <c r="M74" s="1">
        <v>1.2</v>
      </c>
      <c r="N74" s="1">
        <v>3</v>
      </c>
      <c r="O74" s="1">
        <v>7.4999999999999997E-2</v>
      </c>
      <c r="Q74" s="118">
        <f t="shared" si="14"/>
        <v>1.9367235405474506</v>
      </c>
      <c r="R74" s="119">
        <f t="shared" si="15"/>
        <v>561.6498267587607</v>
      </c>
      <c r="S74" s="118" t="str">
        <f t="shared" si="16"/>
        <v/>
      </c>
      <c r="T74" s="118">
        <f t="shared" si="17"/>
        <v>16.133907138133477</v>
      </c>
      <c r="U74" s="118">
        <f t="shared" si="18"/>
        <v>-15.204728468290714</v>
      </c>
      <c r="V74" s="118" t="e">
        <f t="shared" si="19"/>
        <v>#N/A</v>
      </c>
      <c r="W74" s="118" t="e">
        <f t="shared" si="20"/>
        <v>#N/A</v>
      </c>
      <c r="X74" s="118">
        <f>IF(OR(N74="",R74=""),NA(),10*LOG10((G74+'CMOS FOM coeff. calculation'!$Q$3)^'CMOS FOM coeff. calculation'!$P$3*(1000*E74)^'CMOS FOM coeff. calculation'!$N$3*R74^'CMOS FOM coeff. calculation'!$O$3*N74^'CMOS FOM coeff. calculation'!$M$3))</f>
        <v>12.763567167011205</v>
      </c>
      <c r="Y74" s="68"/>
      <c r="Z74" t="s">
        <v>264</v>
      </c>
      <c r="AA74" s="3" t="s">
        <v>5</v>
      </c>
    </row>
    <row r="75" spans="1:27">
      <c r="A75" t="s">
        <v>1640</v>
      </c>
      <c r="B75" s="8" t="s">
        <v>265</v>
      </c>
      <c r="C75" s="109" t="s">
        <v>266</v>
      </c>
      <c r="D75" s="7" t="s">
        <v>267</v>
      </c>
      <c r="E75" s="6">
        <v>0.18</v>
      </c>
      <c r="F75" s="1">
        <v>0.62</v>
      </c>
      <c r="G75" s="1">
        <v>0.61</v>
      </c>
      <c r="H75" s="1">
        <v>-10</v>
      </c>
      <c r="I75" s="1">
        <v>2</v>
      </c>
      <c r="K75" s="1">
        <v>-3.2</v>
      </c>
      <c r="L75" s="1">
        <v>21</v>
      </c>
      <c r="M75" s="1">
        <v>1.8</v>
      </c>
      <c r="N75" s="1">
        <v>3.6</v>
      </c>
      <c r="P75" s="1">
        <v>0.33</v>
      </c>
      <c r="Q75" s="118">
        <f t="shared" si="14"/>
        <v>0.58957636398551128</v>
      </c>
      <c r="R75" s="119">
        <f t="shared" si="15"/>
        <v>170.97714555579827</v>
      </c>
      <c r="S75" s="118" t="str">
        <f t="shared" si="16"/>
        <v/>
      </c>
      <c r="T75" s="118">
        <f t="shared" si="17"/>
        <v>10.92057667853474</v>
      </c>
      <c r="U75" s="118">
        <f t="shared" si="18"/>
        <v>-11.612604380207227</v>
      </c>
      <c r="V75" s="118" t="e">
        <f t="shared" si="19"/>
        <v>#N/A</v>
      </c>
      <c r="W75" s="118" t="e">
        <f t="shared" si="20"/>
        <v>#N/A</v>
      </c>
      <c r="X75" s="118">
        <f>IF(OR(N75="",R75=""),NA(),10*LOG10((G75+'CMOS FOM coeff. calculation'!$Q$3)^'CMOS FOM coeff. calculation'!$P$3*(1000*E75)^'CMOS FOM coeff. calculation'!$N$3*R75^'CMOS FOM coeff. calculation'!$O$3*N75^'CMOS FOM coeff. calculation'!$M$3))</f>
        <v>17.988961143838452</v>
      </c>
      <c r="Y75" s="68"/>
      <c r="Z75" t="s">
        <v>268</v>
      </c>
      <c r="AA75" s="3" t="s">
        <v>5</v>
      </c>
    </row>
    <row r="76" spans="1:27">
      <c r="A76" t="s">
        <v>1814</v>
      </c>
      <c r="B76" s="8" t="s">
        <v>269</v>
      </c>
      <c r="C76" s="35" t="s">
        <v>270</v>
      </c>
      <c r="D76" s="7" t="s">
        <v>271</v>
      </c>
      <c r="E76" s="36">
        <v>0.09</v>
      </c>
      <c r="F76" s="1">
        <v>17</v>
      </c>
      <c r="G76" s="1">
        <v>54.5</v>
      </c>
      <c r="H76" s="1">
        <v>-10</v>
      </c>
      <c r="I76" s="1">
        <v>4.4000000000000004</v>
      </c>
      <c r="J76" s="1">
        <v>-16</v>
      </c>
      <c r="K76" s="6">
        <v>-9</v>
      </c>
      <c r="L76" s="1">
        <v>17.8</v>
      </c>
      <c r="M76" s="1">
        <v>1.2</v>
      </c>
      <c r="N76" s="1">
        <v>19.2</v>
      </c>
      <c r="P76" s="1">
        <v>0.59</v>
      </c>
      <c r="Q76" s="118">
        <f t="shared" si="14"/>
        <v>1.7838329616197646</v>
      </c>
      <c r="R76" s="119">
        <f t="shared" si="15"/>
        <v>517.3115588697317</v>
      </c>
      <c r="S76" s="118">
        <f t="shared" si="16"/>
        <v>1.4884423841211123</v>
      </c>
      <c r="T76" s="118">
        <f t="shared" si="17"/>
        <v>9.1586691334268959</v>
      </c>
      <c r="U76" s="118">
        <f t="shared" si="18"/>
        <v>-5.0571727288326498</v>
      </c>
      <c r="V76" s="118">
        <f t="shared" si="19"/>
        <v>-15.162696507251088</v>
      </c>
      <c r="W76" s="118">
        <f t="shared" si="20"/>
        <v>-11.061200102656841</v>
      </c>
      <c r="X76" s="118">
        <f>IF(OR(N76="",R76=""),NA(),10*LOG10((G76+'CMOS FOM coeff. calculation'!$Q$3)^'CMOS FOM coeff. calculation'!$P$3*(1000*E76)^'CMOS FOM coeff. calculation'!$N$3*R76^'CMOS FOM coeff. calculation'!$O$3*N76^'CMOS FOM coeff. calculation'!$M$3))</f>
        <v>23.428460207863267</v>
      </c>
      <c r="Y76" s="68"/>
      <c r="Z76" t="s">
        <v>272</v>
      </c>
      <c r="AA76" s="3" t="s">
        <v>242</v>
      </c>
    </row>
    <row r="77" spans="1:27">
      <c r="C77" s="102"/>
      <c r="E77" s="36">
        <v>0.09</v>
      </c>
      <c r="F77" s="1">
        <v>7.5</v>
      </c>
      <c r="G77" s="1">
        <v>56.25</v>
      </c>
      <c r="H77" s="6">
        <v>-10</v>
      </c>
      <c r="I77" s="1">
        <v>5.3</v>
      </c>
      <c r="J77" s="1">
        <v>-10</v>
      </c>
      <c r="K77" s="6">
        <v>-4</v>
      </c>
      <c r="L77" s="1">
        <v>13.7</v>
      </c>
      <c r="M77" s="1">
        <v>1.2</v>
      </c>
      <c r="N77" s="1">
        <v>14.4</v>
      </c>
      <c r="P77" s="1">
        <v>0.3</v>
      </c>
      <c r="Q77" s="118">
        <f t="shared" si="14"/>
        <v>2.4948674991167206</v>
      </c>
      <c r="R77" s="119">
        <f t="shared" si="15"/>
        <v>723.511574743849</v>
      </c>
      <c r="S77" s="118">
        <f t="shared" si="16"/>
        <v>2.2442288153199228</v>
      </c>
      <c r="T77" s="118">
        <f t="shared" si="17"/>
        <v>10.107632857152552</v>
      </c>
      <c r="U77" s="118">
        <f t="shared" si="18"/>
        <v>-7.1907619791802189</v>
      </c>
      <c r="V77" s="118">
        <f t="shared" si="19"/>
        <v>-15.14650083722092</v>
      </c>
      <c r="W77" s="118">
        <f t="shared" si="20"/>
        <v>-12.229629959248587</v>
      </c>
      <c r="X77" s="118">
        <f>IF(OR(N77="",R77=""),NA(),10*LOG10((G77+'CMOS FOM coeff. calculation'!$Q$3)^'CMOS FOM coeff. calculation'!$P$3*(1000*E77)^'CMOS FOM coeff. calculation'!$N$3*R77^'CMOS FOM coeff. calculation'!$O$3*N77^'CMOS FOM coeff. calculation'!$M$3))</f>
        <v>22.585583180577828</v>
      </c>
      <c r="Y77" s="68"/>
    </row>
    <row r="78" spans="1:27">
      <c r="E78" s="1">
        <v>0.09</v>
      </c>
      <c r="F78" s="1">
        <v>15</v>
      </c>
      <c r="G78" s="1">
        <v>36.5</v>
      </c>
      <c r="H78" s="1">
        <v>-10</v>
      </c>
      <c r="I78" s="1">
        <v>3.8</v>
      </c>
      <c r="J78" s="1">
        <v>-10</v>
      </c>
      <c r="K78" s="6">
        <v>-1</v>
      </c>
      <c r="L78" s="1">
        <v>13.8</v>
      </c>
      <c r="M78" s="1">
        <v>1.2</v>
      </c>
      <c r="N78" s="1">
        <v>18</v>
      </c>
      <c r="P78" s="1">
        <v>0.48259999999999997</v>
      </c>
      <c r="Q78" s="118">
        <f t="shared" si="14"/>
        <v>1.459682618336313</v>
      </c>
      <c r="R78" s="119">
        <f t="shared" si="15"/>
        <v>423.30795931753079</v>
      </c>
      <c r="S78" s="118">
        <f t="shared" si="16"/>
        <v>2.298832919019492</v>
      </c>
      <c r="T78" s="118">
        <f t="shared" si="17"/>
        <v>9.3549734935627313</v>
      </c>
      <c r="U78" s="118">
        <f t="shared" si="18"/>
        <v>-5.4346692967104602</v>
      </c>
      <c r="V78" s="118">
        <f t="shared" si="19"/>
        <v>-14.055975065051229</v>
      </c>
      <c r="W78" s="118">
        <f t="shared" si="20"/>
        <v>-10.135670868198957</v>
      </c>
      <c r="X78" s="118">
        <f>IF(OR(N78="",R78=""),NA(),10*LOG10((G78+'CMOS FOM coeff. calculation'!$Q$3)^'CMOS FOM coeff. calculation'!$P$3*(1000*E78)^'CMOS FOM coeff. calculation'!$N$3*R78^'CMOS FOM coeff. calculation'!$O$3*N78^'CMOS FOM coeff. calculation'!$M$3))</f>
        <v>21.629403832537491</v>
      </c>
      <c r="Y78" s="68"/>
    </row>
    <row r="79" spans="1:27">
      <c r="A79" t="s">
        <v>1815</v>
      </c>
      <c r="B79" s="8" t="s">
        <v>273</v>
      </c>
      <c r="C79" s="3" t="s">
        <v>274</v>
      </c>
      <c r="D79" s="7" t="s">
        <v>275</v>
      </c>
      <c r="E79" s="36">
        <v>6.5000000000000002E-2</v>
      </c>
      <c r="F79" s="1">
        <v>3</v>
      </c>
      <c r="G79" s="1">
        <v>58.5</v>
      </c>
      <c r="H79" s="1">
        <v>-10</v>
      </c>
      <c r="I79" s="1">
        <v>6.6</v>
      </c>
      <c r="K79" s="1">
        <v>-10</v>
      </c>
      <c r="L79" s="1">
        <v>16.5</v>
      </c>
      <c r="M79" s="1">
        <v>1.5</v>
      </c>
      <c r="N79" s="1">
        <v>27.9</v>
      </c>
      <c r="P79" s="1">
        <v>0.37</v>
      </c>
      <c r="Q79" s="118">
        <f t="shared" si="14"/>
        <v>3.6526546478695034</v>
      </c>
      <c r="R79" s="119">
        <f t="shared" si="15"/>
        <v>1059.269847882156</v>
      </c>
      <c r="S79" s="118" t="str">
        <f t="shared" si="16"/>
        <v/>
      </c>
      <c r="T79" s="118">
        <f t="shared" si="17"/>
        <v>14.491549605459234</v>
      </c>
      <c r="U79" s="118">
        <f t="shared" si="18"/>
        <v>-12.90114542306036</v>
      </c>
      <c r="V79" s="118" t="e">
        <f t="shared" si="19"/>
        <v>#N/A</v>
      </c>
      <c r="W79" s="118" t="e">
        <f t="shared" si="20"/>
        <v>#N/A</v>
      </c>
      <c r="X79" s="118">
        <f>IF(OR(N79="",R79=""),NA(),10*LOG10((G79+'CMOS FOM coeff. calculation'!$Q$3)^'CMOS FOM coeff. calculation'!$P$3*(1000*E79)^'CMOS FOM coeff. calculation'!$N$3*R79^'CMOS FOM coeff. calculation'!$O$3*N79^'CMOS FOM coeff. calculation'!$M$3))</f>
        <v>19.804813814743078</v>
      </c>
      <c r="Y79" s="68"/>
      <c r="Z79" t="s">
        <v>276</v>
      </c>
      <c r="AA79" s="3" t="s">
        <v>243</v>
      </c>
    </row>
    <row r="80" spans="1:27">
      <c r="D80" s="11"/>
      <c r="E80" s="23">
        <v>6.5000000000000002E-2</v>
      </c>
      <c r="F80" s="1">
        <v>7.5</v>
      </c>
      <c r="G80" s="1">
        <v>57.75</v>
      </c>
      <c r="H80" s="1">
        <v>-9</v>
      </c>
      <c r="I80" s="1">
        <v>5.3</v>
      </c>
      <c r="K80" s="1">
        <v>-11</v>
      </c>
      <c r="L80" s="1">
        <v>17.5</v>
      </c>
      <c r="M80" s="1">
        <v>1.5</v>
      </c>
      <c r="N80" s="1">
        <v>18</v>
      </c>
      <c r="P80" s="1">
        <v>0.51</v>
      </c>
      <c r="Q80" s="118">
        <f t="shared" si="14"/>
        <v>2.4316836918005911</v>
      </c>
      <c r="R80" s="119">
        <f t="shared" si="15"/>
        <v>705.18827062217144</v>
      </c>
      <c r="S80" s="118" t="str">
        <f t="shared" si="16"/>
        <v/>
      </c>
      <c r="T80" s="118">
        <f t="shared" si="17"/>
        <v>12.12745449314294</v>
      </c>
      <c r="U80" s="118">
        <f t="shared" si="18"/>
        <v>-9.2105836151706058</v>
      </c>
      <c r="V80" s="118" t="e">
        <f t="shared" si="19"/>
        <v>#N/A</v>
      </c>
      <c r="W80" s="118" t="e">
        <f t="shared" si="20"/>
        <v>#N/A</v>
      </c>
      <c r="X80" s="118">
        <f>IF(OR(N80="",R80=""),NA(),10*LOG10((G80+'CMOS FOM coeff. calculation'!$Q$3)^'CMOS FOM coeff. calculation'!$P$3*(1000*E80)^'CMOS FOM coeff. calculation'!$N$3*R80^'CMOS FOM coeff. calculation'!$O$3*N80^'CMOS FOM coeff. calculation'!$M$3))</f>
        <v>21.685718731037163</v>
      </c>
      <c r="Y80" s="68"/>
    </row>
    <row r="81" spans="1:27">
      <c r="A81" t="s">
        <v>1816</v>
      </c>
      <c r="B81" s="8" t="s">
        <v>277</v>
      </c>
      <c r="C81" s="3" t="s">
        <v>278</v>
      </c>
      <c r="D81" s="7" t="s">
        <v>279</v>
      </c>
      <c r="E81" s="36">
        <v>0.13</v>
      </c>
      <c r="F81" s="1">
        <v>0.7</v>
      </c>
      <c r="G81" s="27">
        <v>2.8</v>
      </c>
      <c r="H81" s="1">
        <v>-32.799999999999997</v>
      </c>
      <c r="I81" s="1">
        <v>2.4</v>
      </c>
      <c r="K81" s="1">
        <v>-4</v>
      </c>
      <c r="L81" s="1">
        <v>16.100000000000001</v>
      </c>
      <c r="M81" s="1">
        <v>1.2</v>
      </c>
      <c r="N81" s="1">
        <v>6.4</v>
      </c>
      <c r="P81" s="1">
        <v>0.72799999999999998</v>
      </c>
      <c r="Q81" s="118">
        <f t="shared" si="14"/>
        <v>0.75636744792902877</v>
      </c>
      <c r="R81" s="119">
        <f t="shared" si="15"/>
        <v>219.34655989941834</v>
      </c>
      <c r="S81" s="118" t="str">
        <f t="shared" si="16"/>
        <v/>
      </c>
      <c r="T81" s="118">
        <f t="shared" si="17"/>
        <v>10.307629970372352</v>
      </c>
      <c r="U81" s="118">
        <f t="shared" si="18"/>
        <v>-10.823969836991497</v>
      </c>
      <c r="V81" s="118" t="e">
        <f t="shared" si="19"/>
        <v>#N/A</v>
      </c>
      <c r="W81" s="118" t="e">
        <f t="shared" si="20"/>
        <v>#N/A</v>
      </c>
      <c r="X81" s="118">
        <f>IF(OR(N81="",R81=""),NA(),10*LOG10((G81+'CMOS FOM coeff. calculation'!$Q$3)^'CMOS FOM coeff. calculation'!$P$3*(1000*E81)^'CMOS FOM coeff. calculation'!$N$3*R81^'CMOS FOM coeff. calculation'!$O$3*N81^'CMOS FOM coeff. calculation'!$M$3))</f>
        <v>16.724044497536141</v>
      </c>
      <c r="Y81" s="68"/>
      <c r="Z81" t="s">
        <v>280</v>
      </c>
      <c r="AA81" s="3" t="s">
        <v>992</v>
      </c>
    </row>
    <row r="82" spans="1:27">
      <c r="B82" s="8"/>
      <c r="C82" s="3"/>
      <c r="D82" s="7"/>
      <c r="E82" s="36">
        <v>0.13</v>
      </c>
      <c r="F82" s="1">
        <v>2.8</v>
      </c>
      <c r="G82" s="27">
        <v>3.3</v>
      </c>
      <c r="H82" s="1">
        <v>-18.600000000000001</v>
      </c>
      <c r="I82" s="1">
        <v>3</v>
      </c>
      <c r="K82" s="1">
        <v>-2</v>
      </c>
      <c r="L82" s="1">
        <v>14.2</v>
      </c>
      <c r="M82" s="1">
        <v>1.2</v>
      </c>
      <c r="N82" s="1">
        <v>6.4</v>
      </c>
      <c r="Q82" s="118">
        <f t="shared" si="14"/>
        <v>1.0345965798829826</v>
      </c>
      <c r="R82" s="119">
        <f t="shared" si="15"/>
        <v>300.03300816606497</v>
      </c>
      <c r="S82" s="118" t="str">
        <f t="shared" si="16"/>
        <v/>
      </c>
      <c r="T82" s="118">
        <f t="shared" si="17"/>
        <v>11.192306000736378</v>
      </c>
      <c r="U82" s="118">
        <f t="shared" si="18"/>
        <v>-9.7017792295956475</v>
      </c>
      <c r="V82" s="118" t="e">
        <f t="shared" si="19"/>
        <v>#N/A</v>
      </c>
      <c r="W82" s="118" t="e">
        <f t="shared" si="20"/>
        <v>#N/A</v>
      </c>
      <c r="X82" s="118">
        <f>IF(OR(N82="",R82=""),NA(),10*LOG10((G82+'CMOS FOM coeff. calculation'!$Q$3)^'CMOS FOM coeff. calculation'!$P$3*(1000*E82)^'CMOS FOM coeff. calculation'!$N$3*R82^'CMOS FOM coeff. calculation'!$O$3*N82^'CMOS FOM coeff. calculation'!$M$3))</f>
        <v>15.751483165154918</v>
      </c>
      <c r="Y82" s="68"/>
      <c r="Z82" s="4"/>
      <c r="AA82" s="3"/>
    </row>
    <row r="83" spans="1:27">
      <c r="B83" s="8"/>
      <c r="C83" s="3"/>
      <c r="D83" s="7"/>
      <c r="E83" s="36">
        <v>0.13</v>
      </c>
      <c r="F83" s="1">
        <v>3.3</v>
      </c>
      <c r="G83" s="27">
        <v>4.5999999999999996</v>
      </c>
      <c r="H83" s="1">
        <v>-35.4</v>
      </c>
      <c r="I83" s="1">
        <v>3.7</v>
      </c>
      <c r="K83" s="1">
        <v>-3.2</v>
      </c>
      <c r="L83" s="1">
        <v>14.2</v>
      </c>
      <c r="M83" s="1">
        <v>1.2</v>
      </c>
      <c r="N83" s="1">
        <v>6.4</v>
      </c>
      <c r="Q83" s="118">
        <f t="shared" si="14"/>
        <v>1.397354761647567</v>
      </c>
      <c r="R83" s="119">
        <f t="shared" si="15"/>
        <v>405.23288087779446</v>
      </c>
      <c r="S83" s="118" t="str">
        <f t="shared" si="16"/>
        <v/>
      </c>
      <c r="T83" s="118">
        <f t="shared" si="17"/>
        <v>11.536036463064656</v>
      </c>
      <c r="U83" s="118">
        <f t="shared" si="18"/>
        <v>-9.8076566634716986</v>
      </c>
      <c r="V83" s="118" t="e">
        <f t="shared" si="19"/>
        <v>#N/A</v>
      </c>
      <c r="W83" s="118" t="e">
        <f t="shared" si="20"/>
        <v>#N/A</v>
      </c>
      <c r="X83" s="118">
        <f>IF(OR(N83="",R83=""),NA(),10*LOG10((G83+'CMOS FOM coeff. calculation'!$Q$3)^'CMOS FOM coeff. calculation'!$P$3*(1000*E83)^'CMOS FOM coeff. calculation'!$N$3*R83^'CMOS FOM coeff. calculation'!$O$3*N83^'CMOS FOM coeff. calculation'!$M$3))</f>
        <v>15.19905840978506</v>
      </c>
      <c r="Y83" s="68"/>
      <c r="Z83" s="4"/>
      <c r="AA83" s="3"/>
    </row>
    <row r="84" spans="1:27">
      <c r="B84" s="8"/>
      <c r="C84" s="3"/>
      <c r="D84" s="7"/>
      <c r="E84" s="36">
        <v>0.13</v>
      </c>
      <c r="F84" s="1">
        <v>0.1</v>
      </c>
      <c r="G84" s="27">
        <v>2.0499999999999998</v>
      </c>
      <c r="H84" s="1">
        <v>-8.6</v>
      </c>
      <c r="I84" s="1">
        <v>4</v>
      </c>
      <c r="K84" s="1">
        <v>-2</v>
      </c>
      <c r="L84" s="1">
        <v>14.9</v>
      </c>
      <c r="M84" s="1">
        <v>1.2</v>
      </c>
      <c r="N84" s="1">
        <v>6.4</v>
      </c>
      <c r="Q84" s="118">
        <f t="shared" si="14"/>
        <v>1.5624461994532688</v>
      </c>
      <c r="R84" s="119">
        <f t="shared" si="15"/>
        <v>453.10939784144796</v>
      </c>
      <c r="S84" s="118" t="str">
        <f t="shared" si="16"/>
        <v/>
      </c>
      <c r="T84" s="118">
        <f t="shared" si="17"/>
        <v>14.361046861941064</v>
      </c>
      <c r="U84" s="118">
        <f t="shared" si="18"/>
        <v>-17.694380195274398</v>
      </c>
      <c r="V84" s="118" t="e">
        <f t="shared" si="19"/>
        <v>#N/A</v>
      </c>
      <c r="W84" s="118" t="e">
        <f t="shared" si="20"/>
        <v>#N/A</v>
      </c>
      <c r="X84" s="118">
        <f>IF(OR(N84="",R84=""),NA(),10*LOG10((G84+'CMOS FOM coeff. calculation'!$Q$3)^'CMOS FOM coeff. calculation'!$P$3*(1000*E84)^'CMOS FOM coeff. calculation'!$N$3*R84^'CMOS FOM coeff. calculation'!$O$3*N84^'CMOS FOM coeff. calculation'!$M$3))</f>
        <v>13.496483195575475</v>
      </c>
      <c r="Y84" s="68"/>
      <c r="Z84" s="4"/>
      <c r="AA84" s="3"/>
    </row>
    <row r="85" spans="1:27">
      <c r="B85" s="8"/>
      <c r="C85" s="3"/>
      <c r="D85" s="7"/>
      <c r="E85" s="36">
        <v>0.13</v>
      </c>
      <c r="F85" s="1">
        <v>3.1</v>
      </c>
      <c r="G85" s="27">
        <v>5.65</v>
      </c>
      <c r="H85" s="1">
        <v>-32.4</v>
      </c>
      <c r="I85" s="1">
        <v>4.8</v>
      </c>
      <c r="K85" s="1">
        <v>-4.2</v>
      </c>
      <c r="L85" s="1">
        <v>14.9</v>
      </c>
      <c r="M85" s="1">
        <v>1.2</v>
      </c>
      <c r="N85" s="1">
        <v>6.4</v>
      </c>
      <c r="Q85" s="118">
        <f t="shared" si="14"/>
        <v>2.0875019597007496</v>
      </c>
      <c r="R85" s="119">
        <f t="shared" si="15"/>
        <v>605.3755683132174</v>
      </c>
      <c r="S85" s="118" t="str">
        <f t="shared" si="16"/>
        <v/>
      </c>
      <c r="T85" s="118">
        <f t="shared" si="17"/>
        <v>12.683967815677894</v>
      </c>
      <c r="U85" s="118">
        <f t="shared" si="18"/>
        <v>-11.046095502896986</v>
      </c>
      <c r="V85" s="118" t="e">
        <f t="shared" si="19"/>
        <v>#N/A</v>
      </c>
      <c r="W85" s="118" t="e">
        <f t="shared" si="20"/>
        <v>#N/A</v>
      </c>
      <c r="X85" s="118">
        <f>IF(OR(N85="",R85=""),NA(),10*LOG10((G85+'CMOS FOM coeff. calculation'!$Q$3)^'CMOS FOM coeff. calculation'!$P$3*(1000*E85)^'CMOS FOM coeff. calculation'!$N$3*R85^'CMOS FOM coeff. calculation'!$O$3*N85^'CMOS FOM coeff. calculation'!$M$3))</f>
        <v>14.102229732315042</v>
      </c>
      <c r="Y85" s="68"/>
      <c r="Z85" s="4"/>
      <c r="AA85" s="3"/>
    </row>
    <row r="86" spans="1:27">
      <c r="B86" s="8"/>
      <c r="C86" s="3"/>
      <c r="D86" s="7"/>
      <c r="E86" s="36">
        <v>0.13</v>
      </c>
      <c r="F86" s="1">
        <v>3.8</v>
      </c>
      <c r="G86" s="27">
        <v>5.9</v>
      </c>
      <c r="H86" s="1">
        <v>-10</v>
      </c>
      <c r="I86" s="1">
        <v>4</v>
      </c>
      <c r="K86" s="1">
        <v>-1.2</v>
      </c>
      <c r="L86" s="1">
        <v>15.6</v>
      </c>
      <c r="M86" s="1">
        <v>1.2</v>
      </c>
      <c r="N86" s="1">
        <v>6.4</v>
      </c>
      <c r="Q86" s="118">
        <f t="shared" si="14"/>
        <v>1.5547066071360156</v>
      </c>
      <c r="R86" s="119">
        <f t="shared" si="15"/>
        <v>450.86491606944452</v>
      </c>
      <c r="S86" s="118" t="str">
        <f t="shared" si="16"/>
        <v/>
      </c>
      <c r="T86" s="118">
        <f t="shared" si="17"/>
        <v>11.278826247064146</v>
      </c>
      <c r="U86" s="118">
        <f t="shared" si="18"/>
        <v>-9.3462142583414458</v>
      </c>
      <c r="V86" s="118" t="e">
        <f t="shared" si="19"/>
        <v>#N/A</v>
      </c>
      <c r="W86" s="118" t="e">
        <f t="shared" si="20"/>
        <v>#N/A</v>
      </c>
      <c r="X86" s="118">
        <f>IF(OR(N86="",R86=""),NA(),10*LOG10((G86+'CMOS FOM coeff. calculation'!$Q$3)^'CMOS FOM coeff. calculation'!$P$3*(1000*E86)^'CMOS FOM coeff. calculation'!$N$3*R86^'CMOS FOM coeff. calculation'!$O$3*N86^'CMOS FOM coeff. calculation'!$M$3))</f>
        <v>15.362746687558278</v>
      </c>
      <c r="Y86" s="68"/>
      <c r="Z86" s="4"/>
      <c r="AA86" s="3"/>
    </row>
    <row r="87" spans="1:27">
      <c r="A87" t="s">
        <v>1817</v>
      </c>
      <c r="B87" s="8" t="s">
        <v>281</v>
      </c>
      <c r="C87" s="3" t="s">
        <v>282</v>
      </c>
      <c r="D87" s="7" t="s">
        <v>283</v>
      </c>
      <c r="E87" s="36">
        <v>0.09</v>
      </c>
      <c r="F87" s="98"/>
      <c r="G87" s="28">
        <v>60</v>
      </c>
      <c r="I87" s="1">
        <v>3.7</v>
      </c>
      <c r="J87" s="1">
        <v>-23</v>
      </c>
      <c r="K87" s="1">
        <v>-13</v>
      </c>
      <c r="L87" s="1">
        <v>22</v>
      </c>
      <c r="N87" s="1">
        <v>13.5</v>
      </c>
      <c r="P87" s="1">
        <v>0.59279999999999999</v>
      </c>
      <c r="Q87" s="118">
        <f t="shared" si="14"/>
        <v>1.3527641802688255</v>
      </c>
      <c r="R87" s="119">
        <f t="shared" si="15"/>
        <v>392.30161227795941</v>
      </c>
      <c r="S87" s="118">
        <f t="shared" si="16"/>
        <v>0.7893163623880094</v>
      </c>
      <c r="T87" s="118">
        <f t="shared" si="17"/>
        <v>7.1690917175096578</v>
      </c>
      <c r="U87" s="118" t="e">
        <f t="shared" si="18"/>
        <v>#N/A</v>
      </c>
      <c r="V87" s="118">
        <f t="shared" si="19"/>
        <v>-13.720679792749042</v>
      </c>
      <c r="W87" s="118" t="e">
        <f t="shared" si="20"/>
        <v>#N/A</v>
      </c>
      <c r="X87" s="118">
        <f>IF(OR(N87="",R87=""),NA(),10*LOG10((G87+'CMOS FOM coeff. calculation'!$Q$3)^'CMOS FOM coeff. calculation'!$P$3*(1000*E87)^'CMOS FOM coeff. calculation'!$N$3*R87^'CMOS FOM coeff. calculation'!$O$3*N87^'CMOS FOM coeff. calculation'!$M$3))</f>
        <v>25.484527297727766</v>
      </c>
      <c r="Y87" s="68"/>
      <c r="Z87" t="s">
        <v>284</v>
      </c>
      <c r="AA87" s="3" t="s">
        <v>5</v>
      </c>
    </row>
    <row r="88" spans="1:27">
      <c r="A88" t="s">
        <v>1647</v>
      </c>
      <c r="B88" s="8" t="s">
        <v>285</v>
      </c>
      <c r="C88" s="3" t="s">
        <v>286</v>
      </c>
      <c r="D88" s="7" t="s">
        <v>287</v>
      </c>
      <c r="E88" s="36">
        <v>0.18</v>
      </c>
      <c r="F88" s="58">
        <v>1.1000000000000001</v>
      </c>
      <c r="G88" s="58">
        <v>5.95</v>
      </c>
      <c r="H88" s="6">
        <v>-7.5</v>
      </c>
      <c r="I88" s="1">
        <v>3.22</v>
      </c>
      <c r="J88" s="6">
        <v>-19</v>
      </c>
      <c r="K88" s="6">
        <v>-9</v>
      </c>
      <c r="L88" s="6">
        <v>11.21</v>
      </c>
      <c r="M88" s="6">
        <v>0.6</v>
      </c>
      <c r="N88" s="1">
        <v>0.79800000000000004</v>
      </c>
      <c r="P88" s="1">
        <v>0.46124999999999999</v>
      </c>
      <c r="Q88" s="118">
        <f t="shared" si="14"/>
        <v>1.1889213633620854</v>
      </c>
      <c r="R88" s="119">
        <f t="shared" si="15"/>
        <v>344.78719537500479</v>
      </c>
      <c r="S88" s="118">
        <f t="shared" si="16"/>
        <v>0.1537520109190752</v>
      </c>
      <c r="T88" s="118">
        <f t="shared" si="17"/>
        <v>5.1911277732132319</v>
      </c>
      <c r="U88" s="118">
        <f t="shared" si="18"/>
        <v>-5.0531521560191486</v>
      </c>
      <c r="V88" s="118">
        <f t="shared" si="19"/>
        <v>-7.6743662984474783</v>
      </c>
      <c r="W88" s="118">
        <f t="shared" si="20"/>
        <v>-7.536390681253395</v>
      </c>
      <c r="X88" s="118">
        <f>IF(OR(N88="",R88=""),NA(),10*LOG10((G88+'CMOS FOM coeff. calculation'!$Q$3)^'CMOS FOM coeff. calculation'!$P$3*(1000*E88)^'CMOS FOM coeff. calculation'!$N$3*R88^'CMOS FOM coeff. calculation'!$O$3*N88^'CMOS FOM coeff. calculation'!$M$3))</f>
        <v>19.230442604022951</v>
      </c>
      <c r="Y88" s="68"/>
      <c r="Z88" t="s">
        <v>288</v>
      </c>
      <c r="AA88" s="3" t="s">
        <v>289</v>
      </c>
    </row>
    <row r="89" spans="1:27">
      <c r="B89" s="8"/>
      <c r="C89" s="3"/>
      <c r="D89" s="7"/>
      <c r="E89" s="36">
        <v>0.18</v>
      </c>
      <c r="F89" s="58">
        <v>1.1000000000000001</v>
      </c>
      <c r="G89" s="58">
        <v>5.95</v>
      </c>
      <c r="H89" s="6">
        <v>-10</v>
      </c>
      <c r="I89" s="1">
        <v>3.32</v>
      </c>
      <c r="J89" s="6">
        <v>-22.2</v>
      </c>
      <c r="K89" s="6">
        <v>-11.5</v>
      </c>
      <c r="L89" s="6">
        <v>13.92</v>
      </c>
      <c r="M89" s="6">
        <v>0.6</v>
      </c>
      <c r="N89" s="1">
        <v>0.83399999999999996</v>
      </c>
      <c r="Q89" s="118">
        <f t="shared" si="14"/>
        <v>1.1963432125312501</v>
      </c>
      <c r="R89" s="119">
        <f t="shared" si="15"/>
        <v>346.93953163406252</v>
      </c>
      <c r="S89" s="118">
        <f t="shared" si="16"/>
        <v>0.14256796836795713</v>
      </c>
      <c r="T89" s="118">
        <f t="shared" si="17"/>
        <v>5.2820315621384539</v>
      </c>
      <c r="U89" s="118">
        <f t="shared" si="18"/>
        <v>-5.1440559449443706</v>
      </c>
      <c r="V89" s="118">
        <f t="shared" si="19"/>
        <v>-7.9384767642582172</v>
      </c>
      <c r="W89" s="118">
        <f t="shared" si="20"/>
        <v>-7.8005011470641339</v>
      </c>
      <c r="X89" s="118">
        <f>IF(OR(N89="",R89=""),NA(),10*LOG10((G89+'CMOS FOM coeff. calculation'!$Q$3)^'CMOS FOM coeff. calculation'!$P$3*(1000*E89)^'CMOS FOM coeff. calculation'!$N$3*R89^'CMOS FOM coeff. calculation'!$O$3*N89^'CMOS FOM coeff. calculation'!$M$3))</f>
        <v>19.167792353277264</v>
      </c>
      <c r="Y89" s="68"/>
      <c r="Z89" s="4"/>
      <c r="AA89" s="3"/>
    </row>
    <row r="90" spans="1:27">
      <c r="A90" t="s">
        <v>1818</v>
      </c>
      <c r="B90" s="8" t="s">
        <v>290</v>
      </c>
      <c r="C90" s="3" t="s">
        <v>291</v>
      </c>
      <c r="D90" s="7" t="s">
        <v>292</v>
      </c>
      <c r="E90" s="36">
        <v>6.5000000000000002E-2</v>
      </c>
      <c r="F90" s="32">
        <v>4</v>
      </c>
      <c r="G90" s="32">
        <v>16</v>
      </c>
      <c r="H90" s="1">
        <v>-10</v>
      </c>
      <c r="I90" s="1">
        <v>4.7</v>
      </c>
      <c r="J90" s="1">
        <v>-16.899999999999999</v>
      </c>
      <c r="K90" s="1">
        <v>-7.9</v>
      </c>
      <c r="L90" s="1">
        <v>18.899999999999999</v>
      </c>
      <c r="M90" s="1">
        <v>2</v>
      </c>
      <c r="N90" s="1">
        <v>12</v>
      </c>
      <c r="P90" s="1">
        <v>0.40799999999999997</v>
      </c>
      <c r="Q90" s="118">
        <f t="shared" si="14"/>
        <v>1.9766737169636057</v>
      </c>
      <c r="R90" s="119">
        <f t="shared" si="15"/>
        <v>573.23537791944568</v>
      </c>
      <c r="S90" s="118">
        <f t="shared" si="16"/>
        <v>1.5644758130144187</v>
      </c>
      <c r="T90" s="118">
        <f t="shared" si="17"/>
        <v>14.356976057211025</v>
      </c>
      <c r="U90" s="118">
        <f t="shared" si="18"/>
        <v>-12.350109419451151</v>
      </c>
      <c r="V90" s="118">
        <f t="shared" si="19"/>
        <v>-17.363128497402993</v>
      </c>
      <c r="W90" s="118">
        <f t="shared" si="20"/>
        <v>-15.356261859643119</v>
      </c>
      <c r="X90" s="118">
        <f>IF(OR(N90="",R90=""),NA(),10*LOG10((G90+'CMOS FOM coeff. calculation'!$Q$3)^'CMOS FOM coeff. calculation'!$P$3*(1000*E90)^'CMOS FOM coeff. calculation'!$N$3*R90^'CMOS FOM coeff. calculation'!$O$3*N90^'CMOS FOM coeff. calculation'!$M$3))</f>
        <v>15.307172993460281</v>
      </c>
      <c r="Y90" s="68"/>
      <c r="Z90" t="s">
        <v>293</v>
      </c>
      <c r="AA90" s="3" t="s">
        <v>5</v>
      </c>
    </row>
    <row r="91" spans="1:27">
      <c r="A91" t="s">
        <v>1651</v>
      </c>
      <c r="B91" s="8" t="s">
        <v>297</v>
      </c>
      <c r="C91" s="3" t="s">
        <v>298</v>
      </c>
      <c r="D91" s="7" t="s">
        <v>299</v>
      </c>
      <c r="E91" s="36">
        <v>6.5000000000000002E-2</v>
      </c>
      <c r="F91" s="32">
        <v>0.5</v>
      </c>
      <c r="G91" s="32">
        <v>3.75</v>
      </c>
      <c r="H91" s="1">
        <v>-10</v>
      </c>
      <c r="I91" s="1">
        <v>3.4</v>
      </c>
      <c r="J91" s="1">
        <v>-28</v>
      </c>
      <c r="L91" s="1">
        <v>28</v>
      </c>
      <c r="M91" s="1">
        <v>1</v>
      </c>
      <c r="N91" s="1">
        <v>2.1</v>
      </c>
      <c r="Q91" s="118">
        <f t="shared" si="14"/>
        <v>1.189647087519994</v>
      </c>
      <c r="R91" s="119">
        <f t="shared" si="15"/>
        <v>344.99765538079828</v>
      </c>
      <c r="S91" s="118">
        <f t="shared" si="16"/>
        <v>0.99841510680753887</v>
      </c>
      <c r="T91" s="118">
        <f t="shared" si="17"/>
        <v>13.829192566023478</v>
      </c>
      <c r="U91" s="118">
        <f t="shared" si="18"/>
        <v>-14.832625884903415</v>
      </c>
      <c r="V91" s="118">
        <f t="shared" si="19"/>
        <v>-12.862035151018809</v>
      </c>
      <c r="W91" s="118">
        <f t="shared" si="20"/>
        <v>-13.865468469898746</v>
      </c>
      <c r="X91" s="118">
        <f>IF(OR(N91="",R91=""),NA(),10*LOG10((G91+'CMOS FOM coeff. calculation'!$Q$3)^'CMOS FOM coeff. calculation'!$P$3*(1000*E91)^'CMOS FOM coeff. calculation'!$N$3*R91^'CMOS FOM coeff. calculation'!$O$3*N91^'CMOS FOM coeff. calculation'!$M$3))</f>
        <v>14.286898672928352</v>
      </c>
      <c r="Y91" s="68"/>
      <c r="Z91" t="s">
        <v>300</v>
      </c>
      <c r="AA91" s="3" t="s">
        <v>5</v>
      </c>
    </row>
    <row r="92" spans="1:27" ht="15" customHeight="1">
      <c r="A92" t="s">
        <v>1819</v>
      </c>
      <c r="B92" s="8" t="s">
        <v>301</v>
      </c>
      <c r="C92" s="3" t="s">
        <v>302</v>
      </c>
      <c r="D92" t="s">
        <v>303</v>
      </c>
      <c r="E92" s="31">
        <v>0.18</v>
      </c>
      <c r="F92" s="38">
        <v>7</v>
      </c>
      <c r="G92" s="38">
        <v>4.5</v>
      </c>
      <c r="H92" s="1">
        <v>-10</v>
      </c>
      <c r="I92" s="1">
        <v>1.9</v>
      </c>
      <c r="K92" s="6">
        <v>-2</v>
      </c>
      <c r="L92" s="1">
        <v>16.5</v>
      </c>
      <c r="M92" s="1">
        <v>1.8</v>
      </c>
      <c r="N92" s="1">
        <v>10.8</v>
      </c>
      <c r="P92" s="1">
        <v>1.06</v>
      </c>
      <c r="Q92" s="118">
        <f t="shared" si="14"/>
        <v>0.56138445129219572</v>
      </c>
      <c r="R92" s="119">
        <f t="shared" si="15"/>
        <v>162.80149087473677</v>
      </c>
      <c r="S92" s="118" t="str">
        <f t="shared" si="16"/>
        <v/>
      </c>
      <c r="T92" s="118">
        <f t="shared" si="17"/>
        <v>6.5122994895207764</v>
      </c>
      <c r="U92" s="118">
        <f t="shared" si="18"/>
        <v>-3.6953060228065877</v>
      </c>
      <c r="V92" s="118" t="e">
        <f t="shared" si="19"/>
        <v>#N/A</v>
      </c>
      <c r="W92" s="118" t="e">
        <f t="shared" si="20"/>
        <v>#N/A</v>
      </c>
      <c r="X92" s="118">
        <f>IF(OR(N92="",R92=""),NA(),10*LOG10((G92+'CMOS FOM coeff. calculation'!$Q$3)^'CMOS FOM coeff. calculation'!$P$3*(1000*E92)^'CMOS FOM coeff. calculation'!$N$3*R92^'CMOS FOM coeff. calculation'!$O$3*N92^'CMOS FOM coeff. calculation'!$M$3))</f>
        <v>19.251966756389031</v>
      </c>
      <c r="Y92" s="68"/>
      <c r="Z92" t="s">
        <v>304</v>
      </c>
      <c r="AA92" s="3" t="s">
        <v>243</v>
      </c>
    </row>
    <row r="93" spans="1:27">
      <c r="E93" s="31">
        <v>0.18</v>
      </c>
      <c r="F93" s="23">
        <v>10</v>
      </c>
      <c r="G93" s="23">
        <v>7.2</v>
      </c>
      <c r="H93" s="1">
        <v>-10</v>
      </c>
      <c r="I93" s="1">
        <v>1.9</v>
      </c>
      <c r="K93" s="6">
        <v>-0.1</v>
      </c>
      <c r="L93" s="1">
        <v>13</v>
      </c>
      <c r="M93" s="1">
        <v>1.8</v>
      </c>
      <c r="N93" s="1">
        <v>7.4</v>
      </c>
      <c r="P93" s="1">
        <v>1.1100000000000001</v>
      </c>
      <c r="Q93" s="118">
        <f t="shared" si="14"/>
        <v>0.57777390965677056</v>
      </c>
      <c r="R93" s="119">
        <f t="shared" si="15"/>
        <v>167.55443380046347</v>
      </c>
      <c r="S93" s="118" t="str">
        <f t="shared" si="16"/>
        <v/>
      </c>
      <c r="T93" s="118">
        <f t="shared" si="17"/>
        <v>4.7291682881200314</v>
      </c>
      <c r="U93" s="118">
        <f t="shared" si="18"/>
        <v>-1.3958349547866975</v>
      </c>
      <c r="V93" s="118" t="e">
        <f t="shared" si="19"/>
        <v>#N/A</v>
      </c>
      <c r="W93" s="118" t="e">
        <f t="shared" si="20"/>
        <v>#N/A</v>
      </c>
      <c r="X93" s="118">
        <f>IF(OR(N93="",R93=""),NA(),10*LOG10((G93+'CMOS FOM coeff. calculation'!$Q$3)^'CMOS FOM coeff. calculation'!$P$3*(1000*E93)^'CMOS FOM coeff. calculation'!$N$3*R93^'CMOS FOM coeff. calculation'!$O$3*N93^'CMOS FOM coeff. calculation'!$M$3))</f>
        <v>20.639316242212015</v>
      </c>
      <c r="Y93" s="68"/>
    </row>
    <row r="94" spans="1:27">
      <c r="A94" t="s">
        <v>1819</v>
      </c>
      <c r="B94" s="8" t="s">
        <v>305</v>
      </c>
      <c r="C94" s="3" t="s">
        <v>306</v>
      </c>
      <c r="D94" t="s">
        <v>307</v>
      </c>
      <c r="E94" s="6">
        <v>0.13</v>
      </c>
      <c r="F94" s="38">
        <v>0.95</v>
      </c>
      <c r="G94" s="38">
        <v>0.52500000000000002</v>
      </c>
      <c r="H94" s="1">
        <v>-8</v>
      </c>
      <c r="I94" s="1">
        <v>1.6</v>
      </c>
      <c r="J94" s="1">
        <v>-3</v>
      </c>
      <c r="K94" s="1">
        <v>16.600000000000001</v>
      </c>
      <c r="L94" s="1">
        <v>12.4</v>
      </c>
      <c r="M94" s="1">
        <v>1.2</v>
      </c>
      <c r="N94" s="1">
        <v>22.1</v>
      </c>
      <c r="P94" s="1">
        <v>0.54</v>
      </c>
      <c r="Q94" s="118">
        <f t="shared" si="14"/>
        <v>0.47263720299329448</v>
      </c>
      <c r="R94" s="119">
        <f t="shared" si="15"/>
        <v>137.06478886805539</v>
      </c>
      <c r="S94" s="118">
        <f t="shared" si="16"/>
        <v>8.2084486659335347</v>
      </c>
      <c r="T94" s="118">
        <f t="shared" si="17"/>
        <v>14.906279894220393</v>
      </c>
      <c r="U94" s="118">
        <f t="shared" si="18"/>
        <v>-14.980534543257567</v>
      </c>
      <c r="V94" s="118">
        <f t="shared" si="19"/>
        <v>-12.453726037091805</v>
      </c>
      <c r="W94" s="118">
        <f t="shared" si="20"/>
        <v>-12.527980686128979</v>
      </c>
      <c r="X94" s="118">
        <f>IF(OR(N94="",R94=""),NA(),10*LOG10((G94+'CMOS FOM coeff. calculation'!$Q$3)^'CMOS FOM coeff. calculation'!$P$3*(1000*E94)^'CMOS FOM coeff. calculation'!$N$3*R94^'CMOS FOM coeff. calculation'!$O$3*N94^'CMOS FOM coeff. calculation'!$M$3))</f>
        <v>16.237591875009013</v>
      </c>
      <c r="Y94" s="68"/>
      <c r="Z94" t="s">
        <v>308</v>
      </c>
      <c r="AA94" s="3" t="s">
        <v>5</v>
      </c>
    </row>
    <row r="95" spans="1:27">
      <c r="A95" t="s">
        <v>1819</v>
      </c>
      <c r="B95" s="8" t="s">
        <v>309</v>
      </c>
      <c r="C95" s="3" t="s">
        <v>310</v>
      </c>
      <c r="D95" t="s">
        <v>311</v>
      </c>
      <c r="E95" s="6">
        <v>6.5000000000000002E-2</v>
      </c>
      <c r="F95" s="38">
        <v>30</v>
      </c>
      <c r="G95" s="38">
        <v>76</v>
      </c>
      <c r="H95" s="6">
        <v>-8</v>
      </c>
      <c r="I95" s="1">
        <v>7.8</v>
      </c>
      <c r="J95" s="1">
        <v>-12</v>
      </c>
      <c r="L95" s="1">
        <v>12.5</v>
      </c>
      <c r="M95" s="1">
        <v>1.2</v>
      </c>
      <c r="Q95" s="118">
        <f t="shared" si="14"/>
        <v>5.3250451556990015</v>
      </c>
      <c r="R95" s="119">
        <f t="shared" si="15"/>
        <v>1544.2630951527103</v>
      </c>
      <c r="S95" s="118">
        <f t="shared" si="16"/>
        <v>1.0589227198539444</v>
      </c>
      <c r="T95" s="118" t="e">
        <f t="shared" si="17"/>
        <v>#N/A</v>
      </c>
      <c r="U95" s="118" t="e">
        <f t="shared" si="18"/>
        <v>#N/A</v>
      </c>
      <c r="V95" s="118" t="e">
        <f t="shared" si="19"/>
        <v>#N/A</v>
      </c>
      <c r="W95" s="118" t="e">
        <f t="shared" si="20"/>
        <v>#N/A</v>
      </c>
      <c r="X95" s="118" t="e">
        <f>IF(OR(N95="",R95=""),NA(),10*LOG10((G95+'CMOS FOM coeff. calculation'!$Q$3)^'CMOS FOM coeff. calculation'!$P$3*(1000*E95)^'CMOS FOM coeff. calculation'!$N$3*R95^'CMOS FOM coeff. calculation'!$O$3*N95^'CMOS FOM coeff. calculation'!$M$3))</f>
        <v>#N/A</v>
      </c>
      <c r="Y95" s="68"/>
      <c r="Z95" t="s">
        <v>312</v>
      </c>
      <c r="AA95" s="3" t="s">
        <v>5</v>
      </c>
    </row>
    <row r="96" spans="1:27">
      <c r="A96" t="s">
        <v>1663</v>
      </c>
      <c r="B96" s="8" t="s">
        <v>317</v>
      </c>
      <c r="C96" t="s">
        <v>318</v>
      </c>
      <c r="D96" s="7" t="s">
        <v>320</v>
      </c>
      <c r="E96" s="6">
        <v>0.09</v>
      </c>
      <c r="F96" s="38">
        <v>0.55000000000000004</v>
      </c>
      <c r="G96" s="19">
        <v>2.2749999999999999</v>
      </c>
      <c r="H96" s="1">
        <v>-10</v>
      </c>
      <c r="I96" s="1">
        <v>3.9</v>
      </c>
      <c r="J96" s="1">
        <v>-15</v>
      </c>
      <c r="K96" s="1">
        <v>-4</v>
      </c>
      <c r="L96" s="1">
        <v>9.6999999999999993</v>
      </c>
      <c r="M96" s="1">
        <v>1.2</v>
      </c>
      <c r="N96" s="1">
        <v>0.68</v>
      </c>
      <c r="O96" s="1">
        <v>0.91</v>
      </c>
      <c r="Q96" s="118">
        <f t="shared" si="14"/>
        <v>1.6292905427217745</v>
      </c>
      <c r="R96" s="119">
        <f t="shared" si="15"/>
        <v>472.49425738931461</v>
      </c>
      <c r="S96" s="118">
        <f t="shared" si="16"/>
        <v>0.2634981460649547</v>
      </c>
      <c r="T96" s="118">
        <f t="shared" si="17"/>
        <v>13.125238942951791</v>
      </c>
      <c r="U96" s="118">
        <f t="shared" si="18"/>
        <v>-13.990696644637644</v>
      </c>
      <c r="V96" s="118">
        <f t="shared" si="19"/>
        <v>-12.201756473661353</v>
      </c>
      <c r="W96" s="118">
        <f t="shared" si="20"/>
        <v>-13.067214175347207</v>
      </c>
      <c r="X96" s="118">
        <f>IF(OR(N96="",R96=""),NA(),10*LOG10((G96+'CMOS FOM coeff. calculation'!$Q$3)^'CMOS FOM coeff. calculation'!$P$3*(1000*E96)^'CMOS FOM coeff. calculation'!$N$3*R96^'CMOS FOM coeff. calculation'!$O$3*N96^'CMOS FOM coeff. calculation'!$M$3))</f>
        <v>14.281619395124554</v>
      </c>
      <c r="Y96" s="68"/>
      <c r="Z96" t="s">
        <v>319</v>
      </c>
      <c r="AA96" s="3" t="s">
        <v>5</v>
      </c>
    </row>
    <row r="97" spans="1:27">
      <c r="A97" t="s">
        <v>1820</v>
      </c>
      <c r="B97" s="8" t="s">
        <v>327</v>
      </c>
      <c r="C97" s="37" t="s">
        <v>328</v>
      </c>
      <c r="D97" s="7" t="s">
        <v>329</v>
      </c>
      <c r="E97" s="6">
        <v>6.5000000000000002E-2</v>
      </c>
      <c r="F97" s="19">
        <v>2.5</v>
      </c>
      <c r="G97" s="28">
        <v>23.75</v>
      </c>
      <c r="H97" s="1">
        <v>-10</v>
      </c>
      <c r="I97" s="1">
        <v>4.3</v>
      </c>
      <c r="J97" s="1">
        <v>-13</v>
      </c>
      <c r="K97" s="1">
        <v>-3</v>
      </c>
      <c r="L97" s="1">
        <v>11.5</v>
      </c>
      <c r="M97" s="1">
        <v>1.2</v>
      </c>
      <c r="N97" s="1">
        <v>21.6</v>
      </c>
      <c r="P97" s="1">
        <v>0.6</v>
      </c>
      <c r="Q97" s="118">
        <f t="shared" si="14"/>
        <v>1.8204099596020316</v>
      </c>
      <c r="R97" s="119">
        <f t="shared" si="15"/>
        <v>527.91888828458912</v>
      </c>
      <c r="S97" s="118">
        <f t="shared" si="16"/>
        <v>0.65782706102141042</v>
      </c>
      <c r="T97" s="118">
        <f t="shared" si="17"/>
        <v>13.706602351184065</v>
      </c>
      <c r="U97" s="118">
        <f t="shared" si="18"/>
        <v>-12.380135655610605</v>
      </c>
      <c r="V97" s="118">
        <f t="shared" si="19"/>
        <v>-19.389665640101803</v>
      </c>
      <c r="W97" s="118">
        <f t="shared" si="20"/>
        <v>-18.063198944528345</v>
      </c>
      <c r="X97" s="118">
        <f>IF(OR(N97="",R97=""),NA(),10*LOG10((G97+'CMOS FOM coeff. calculation'!$Q$3)^'CMOS FOM coeff. calculation'!$P$3*(1000*E97)^'CMOS FOM coeff. calculation'!$N$3*R97^'CMOS FOM coeff. calculation'!$O$3*N97^'CMOS FOM coeff. calculation'!$M$3))</f>
        <v>17.102616791645055</v>
      </c>
      <c r="Y97" s="68"/>
      <c r="Z97" t="s">
        <v>330</v>
      </c>
      <c r="AA97" s="3"/>
    </row>
    <row r="98" spans="1:27" ht="16.5" customHeight="1">
      <c r="A98" t="s">
        <v>1821</v>
      </c>
      <c r="B98" s="8" t="s">
        <v>331</v>
      </c>
      <c r="C98" s="30" t="s">
        <v>332</v>
      </c>
      <c r="D98" s="7" t="s">
        <v>333</v>
      </c>
      <c r="E98" s="6">
        <v>0.13</v>
      </c>
      <c r="F98" s="21">
        <v>0.375</v>
      </c>
      <c r="G98" s="21">
        <v>0.83750000000000002</v>
      </c>
      <c r="H98" s="1">
        <v>-5</v>
      </c>
      <c r="I98" s="1">
        <v>1.94</v>
      </c>
      <c r="K98" s="1">
        <v>9.06</v>
      </c>
      <c r="L98" s="1">
        <v>18</v>
      </c>
      <c r="M98" s="1">
        <v>1.2</v>
      </c>
      <c r="N98" s="1">
        <v>2.88</v>
      </c>
      <c r="O98" s="1">
        <v>9.9199999999999997E-2</v>
      </c>
      <c r="Q98" s="118">
        <f t="shared" si="14"/>
        <v>0.57221666562050133</v>
      </c>
      <c r="R98" s="119">
        <f t="shared" si="15"/>
        <v>165.94283302994538</v>
      </c>
      <c r="S98" s="118" t="str">
        <f t="shared" si="16"/>
        <v/>
      </c>
      <c r="T98" s="118">
        <f t="shared" si="17"/>
        <v>11.434436513741497</v>
      </c>
      <c r="U98" s="118">
        <f t="shared" si="18"/>
        <v>-12.854332287982434</v>
      </c>
      <c r="V98" s="118" t="e">
        <f t="shared" si="19"/>
        <v>#N/A</v>
      </c>
      <c r="W98" s="118" t="e">
        <f t="shared" si="20"/>
        <v>#N/A</v>
      </c>
      <c r="X98" s="118">
        <f>IF(OR(N98="",R98=""),NA(),10*LOG10((G98+'CMOS FOM coeff. calculation'!$Q$3)^'CMOS FOM coeff. calculation'!$P$3*(1000*E98)^'CMOS FOM coeff. calculation'!$N$3*R98^'CMOS FOM coeff. calculation'!$O$3*N98^'CMOS FOM coeff. calculation'!$M$3))</f>
        <v>17.442704795471819</v>
      </c>
      <c r="Y98" s="68"/>
      <c r="Z98" t="s">
        <v>334</v>
      </c>
      <c r="AA98" s="3" t="s">
        <v>5</v>
      </c>
    </row>
    <row r="99" spans="1:27">
      <c r="A99" t="s">
        <v>1696</v>
      </c>
      <c r="B99" s="8" t="s">
        <v>340</v>
      </c>
      <c r="C99" s="3" t="s">
        <v>341</v>
      </c>
      <c r="D99" s="7" t="s">
        <v>342</v>
      </c>
      <c r="E99" s="34">
        <v>2.8000000000000001E-2</v>
      </c>
      <c r="F99" s="27">
        <v>18</v>
      </c>
      <c r="G99" s="27">
        <v>63.5</v>
      </c>
      <c r="H99" s="1">
        <v>-10.5</v>
      </c>
      <c r="I99" s="1">
        <v>4</v>
      </c>
      <c r="J99" s="1">
        <v>-12.5</v>
      </c>
      <c r="L99" s="1">
        <v>13.8</v>
      </c>
      <c r="M99" s="1">
        <v>2</v>
      </c>
      <c r="N99" s="1">
        <v>24</v>
      </c>
      <c r="P99" s="1">
        <v>0.38</v>
      </c>
      <c r="Q99" s="118">
        <f t="shared" ref="Q99:Q130" si="21">IF(OR(I99="",L99=""),"",(10^(I99/10)-1)*10^(L99/10)/(10^(L99/10)-1))</f>
        <v>1.5776539963900436</v>
      </c>
      <c r="R99" s="119">
        <f t="shared" ref="R99:R130" si="22">IF(Q99="","",290*Q99)</f>
        <v>457.51965895311264</v>
      </c>
      <c r="S99" s="118">
        <f t="shared" ref="S99:S130" si="23">IF(OR(J99="",L99=""),"",10^(J99/10)*(10^(L99/10)-1))</f>
        <v>1.2927287500726188</v>
      </c>
      <c r="T99" s="118">
        <f t="shared" ref="T99:T130" si="24">IF(OR(Q99="",N99="",E99="",G99=""),NA(),10*LOG10(Q99*N99^(1/3)*E99^(-4/3)*G99^(-2/3)))</f>
        <v>15.266889838251283</v>
      </c>
      <c r="U99" s="118">
        <f t="shared" ref="U99:U130" si="25">IF(OR(ISNA(T99),F99=""),NA(),10*LOG10(F99^(1/3))-T99)</f>
        <v>-11.082648154573597</v>
      </c>
      <c r="V99" s="118">
        <f t="shared" ref="V99:V130" si="26">IF(OR(ISNA(T99),S99=""),NA(),10*LOG10(S99^(1/3)*E99*G99^(1/3)/Q99/N99^(2/3)))</f>
        <v>-20.329008474228768</v>
      </c>
      <c r="W99" s="118">
        <f t="shared" ref="W99:W130" si="27">IF(OR(ISNA(V99),F99=""),NA(),V99+10*LOG10(F99^(1/3)))</f>
        <v>-16.144766790551081</v>
      </c>
      <c r="X99" s="118">
        <f>IF(OR(N99="",R99=""),NA(),10*LOG10((G99+'CMOS FOM coeff. calculation'!$Q$3)^'CMOS FOM coeff. calculation'!$P$3*(1000*E99)^'CMOS FOM coeff. calculation'!$N$3*R99^'CMOS FOM coeff. calculation'!$O$3*N99^'CMOS FOM coeff. calculation'!$M$3))</f>
        <v>21.234416273750178</v>
      </c>
      <c r="Y99" s="68"/>
      <c r="Z99" t="s">
        <v>343</v>
      </c>
      <c r="AA99" s="3" t="s">
        <v>5</v>
      </c>
    </row>
    <row r="100" spans="1:27">
      <c r="A100" t="s">
        <v>1822</v>
      </c>
      <c r="B100" s="33" t="s">
        <v>365</v>
      </c>
      <c r="C100" s="3" t="s">
        <v>366</v>
      </c>
      <c r="D100" s="7" t="s">
        <v>367</v>
      </c>
      <c r="E100" s="31">
        <v>2.8000000000000001E-2</v>
      </c>
      <c r="F100" s="23">
        <v>28</v>
      </c>
      <c r="G100" s="23">
        <v>118</v>
      </c>
      <c r="H100" s="1">
        <v>-6</v>
      </c>
      <c r="I100" s="1">
        <v>8.4</v>
      </c>
      <c r="L100" s="1">
        <v>21.7</v>
      </c>
      <c r="M100" s="1">
        <v>1</v>
      </c>
      <c r="N100" s="1">
        <v>18</v>
      </c>
      <c r="O100" s="1">
        <v>0.12239999999999999</v>
      </c>
      <c r="P100" s="1">
        <v>0.26</v>
      </c>
      <c r="Q100" s="118">
        <f t="shared" si="21"/>
        <v>5.9585947538930384</v>
      </c>
      <c r="R100" s="119">
        <f t="shared" si="22"/>
        <v>1727.9924786289812</v>
      </c>
      <c r="S100" s="118" t="str">
        <f t="shared" si="23"/>
        <v/>
      </c>
      <c r="T100" s="118">
        <f t="shared" si="24"/>
        <v>18.827693049507097</v>
      </c>
      <c r="U100" s="118">
        <f t="shared" si="25"/>
        <v>-14.003832945033034</v>
      </c>
      <c r="V100" s="118" t="e">
        <f t="shared" si="26"/>
        <v>#N/A</v>
      </c>
      <c r="W100" s="118" t="e">
        <f t="shared" si="27"/>
        <v>#N/A</v>
      </c>
      <c r="X100" s="118">
        <f>IF(OR(N100="",R100=""),NA(),10*LOG10((G100+'CMOS FOM coeff. calculation'!$Q$3)^'CMOS FOM coeff. calculation'!$P$3*(1000*E100)^'CMOS FOM coeff. calculation'!$N$3*R100^'CMOS FOM coeff. calculation'!$O$3*N100^'CMOS FOM coeff. calculation'!$M$3))</f>
        <v>20.906313681900887</v>
      </c>
      <c r="Y100" s="68"/>
      <c r="Z100" t="s">
        <v>368</v>
      </c>
      <c r="AA100" s="3" t="s">
        <v>2076</v>
      </c>
    </row>
    <row r="101" spans="1:27">
      <c r="A101" t="s">
        <v>1823</v>
      </c>
      <c r="B101" s="8" t="s">
        <v>369</v>
      </c>
      <c r="C101" s="33" t="s">
        <v>370</v>
      </c>
      <c r="D101" s="7" t="s">
        <v>371</v>
      </c>
      <c r="E101" s="36">
        <v>0.13</v>
      </c>
      <c r="F101" s="1">
        <v>2.1</v>
      </c>
      <c r="G101" s="1">
        <v>1.1499999999999999</v>
      </c>
      <c r="H101" s="1">
        <v>-10</v>
      </c>
      <c r="I101" s="1">
        <v>4.9000000000000004</v>
      </c>
      <c r="J101" s="1">
        <v>-20</v>
      </c>
      <c r="K101" s="1">
        <v>-11.5</v>
      </c>
      <c r="L101" s="1">
        <v>12.3</v>
      </c>
      <c r="M101" s="1">
        <v>1</v>
      </c>
      <c r="N101" s="1">
        <v>0.4</v>
      </c>
      <c r="O101" s="1">
        <v>5.1999999999999998E-3</v>
      </c>
      <c r="Q101" s="118">
        <f t="shared" si="21"/>
        <v>2.2210824642214253</v>
      </c>
      <c r="R101" s="119">
        <f t="shared" si="22"/>
        <v>644.11391462421329</v>
      </c>
      <c r="S101" s="118">
        <f t="shared" si="23"/>
        <v>0.15982436524617449</v>
      </c>
      <c r="T101" s="118">
        <f t="shared" si="24"/>
        <v>13.54861650439382</v>
      </c>
      <c r="U101" s="118">
        <f t="shared" si="25"/>
        <v>-12.474552188614089</v>
      </c>
      <c r="V101" s="118">
        <f t="shared" si="26"/>
        <v>-12.125477156762104</v>
      </c>
      <c r="W101" s="118">
        <f t="shared" si="27"/>
        <v>-11.051412840982373</v>
      </c>
      <c r="X101" s="118">
        <f>IF(OR(N101="",R101=""),NA(),10*LOG10((G101+'CMOS FOM coeff. calculation'!$Q$3)^'CMOS FOM coeff. calculation'!$P$3*(1000*E101)^'CMOS FOM coeff. calculation'!$N$3*R101^'CMOS FOM coeff. calculation'!$O$3*N101^'CMOS FOM coeff. calculation'!$M$3))</f>
        <v>14.03498694889117</v>
      </c>
      <c r="Y101" s="68"/>
      <c r="Z101" t="s">
        <v>372</v>
      </c>
      <c r="AA101" s="3" t="s">
        <v>5</v>
      </c>
    </row>
    <row r="102" spans="1:27">
      <c r="A102" t="s">
        <v>1824</v>
      </c>
      <c r="B102" s="8" t="s">
        <v>374</v>
      </c>
      <c r="C102" t="s">
        <v>375</v>
      </c>
      <c r="D102" s="7" t="s">
        <v>376</v>
      </c>
      <c r="E102" s="31">
        <v>6.5000000000000002E-2</v>
      </c>
      <c r="F102" s="1">
        <v>5</v>
      </c>
      <c r="G102" s="1">
        <v>53.5</v>
      </c>
      <c r="H102" s="1">
        <v>-10</v>
      </c>
      <c r="I102" s="1">
        <v>3.6</v>
      </c>
      <c r="J102" s="1">
        <v>-29.4</v>
      </c>
      <c r="L102" s="1">
        <v>28.2</v>
      </c>
      <c r="M102" s="1">
        <v>1.1000000000000001</v>
      </c>
      <c r="N102" s="1">
        <v>19.8</v>
      </c>
      <c r="O102" s="1">
        <v>0.11219999999999999</v>
      </c>
      <c r="Q102" s="118">
        <f t="shared" si="21"/>
        <v>1.2928244217135108</v>
      </c>
      <c r="R102" s="119">
        <f t="shared" si="22"/>
        <v>374.91908229691813</v>
      </c>
      <c r="S102" s="118">
        <f t="shared" si="23"/>
        <v>0.75742942140768721</v>
      </c>
      <c r="T102" s="118">
        <f t="shared" si="24"/>
        <v>9.7430761396738212</v>
      </c>
      <c r="U102" s="118">
        <f t="shared" si="25"/>
        <v>-7.413176125220426</v>
      </c>
      <c r="V102" s="118">
        <f t="shared" si="26"/>
        <v>-16.271710000280311</v>
      </c>
      <c r="W102" s="118">
        <f t="shared" si="27"/>
        <v>-13.941809985826916</v>
      </c>
      <c r="X102" s="118">
        <f>IF(OR(N102="",R102=""),NA(),10*LOG10((G102+'CMOS FOM coeff. calculation'!$Q$3)^'CMOS FOM coeff. calculation'!$P$3*(1000*E102)^'CMOS FOM coeff. calculation'!$N$3*R102^'CMOS FOM coeff. calculation'!$O$3*N102^'CMOS FOM coeff. calculation'!$M$3))</f>
        <v>23.543398581825727</v>
      </c>
      <c r="Y102" s="68"/>
      <c r="Z102" t="s">
        <v>377</v>
      </c>
      <c r="AA102" s="3" t="s">
        <v>243</v>
      </c>
    </row>
    <row r="103" spans="1:27">
      <c r="D103" s="12"/>
      <c r="E103" s="31">
        <v>6.5000000000000002E-2</v>
      </c>
      <c r="F103" s="1">
        <v>7.8</v>
      </c>
      <c r="G103" s="1">
        <v>54</v>
      </c>
      <c r="H103" s="1">
        <v>-10</v>
      </c>
      <c r="I103" s="1">
        <v>3.8</v>
      </c>
      <c r="J103" s="1">
        <v>-27.5</v>
      </c>
      <c r="L103" s="1">
        <v>25.4</v>
      </c>
      <c r="M103" s="1">
        <v>1.1000000000000001</v>
      </c>
      <c r="N103" s="1">
        <v>19.8</v>
      </c>
      <c r="O103" s="1">
        <v>0.14099999999999999</v>
      </c>
      <c r="Q103" s="118">
        <f t="shared" si="21"/>
        <v>1.4028788658637124</v>
      </c>
      <c r="R103" s="119">
        <f t="shared" si="22"/>
        <v>406.83487110047656</v>
      </c>
      <c r="S103" s="118">
        <f t="shared" si="23"/>
        <v>0.61481672245144336</v>
      </c>
      <c r="T103" s="118">
        <f t="shared" si="24"/>
        <v>10.070949207122524</v>
      </c>
      <c r="U103" s="118">
        <f t="shared" si="25"/>
        <v>-7.0973005314875897</v>
      </c>
      <c r="V103" s="118">
        <f t="shared" si="26"/>
        <v>-16.915037991546104</v>
      </c>
      <c r="W103" s="118">
        <f t="shared" si="27"/>
        <v>-13.94138931591117</v>
      </c>
      <c r="X103" s="118">
        <f>IF(OR(N103="",R103=""),NA(),10*LOG10((G103+'CMOS FOM coeff. calculation'!$Q$3)^'CMOS FOM coeff. calculation'!$P$3*(1000*E103)^'CMOS FOM coeff. calculation'!$N$3*R103^'CMOS FOM coeff. calculation'!$O$3*N103^'CMOS FOM coeff. calculation'!$M$3))</f>
        <v>23.28798707373814</v>
      </c>
      <c r="Y103" s="68"/>
    </row>
    <row r="104" spans="1:27">
      <c r="A104" t="s">
        <v>1824</v>
      </c>
      <c r="B104" s="8" t="s">
        <v>378</v>
      </c>
      <c r="C104" s="3" t="s">
        <v>379</v>
      </c>
      <c r="D104" s="7" t="s">
        <v>380</v>
      </c>
      <c r="E104" s="31">
        <v>0.18</v>
      </c>
      <c r="F104" s="1">
        <v>2.95</v>
      </c>
      <c r="G104" s="1">
        <v>1.5249999999999999</v>
      </c>
      <c r="H104" s="1">
        <v>-10</v>
      </c>
      <c r="I104" s="1">
        <v>3.4</v>
      </c>
      <c r="K104" s="1">
        <v>7.1</v>
      </c>
      <c r="L104" s="1">
        <v>10.1</v>
      </c>
      <c r="M104" s="1">
        <v>1.5</v>
      </c>
      <c r="N104" s="1">
        <v>18.5</v>
      </c>
      <c r="O104" s="1">
        <v>0.12</v>
      </c>
      <c r="P104" s="1">
        <v>0.43919999999999998</v>
      </c>
      <c r="Q104" s="118">
        <f t="shared" si="21"/>
        <v>1.3164056875219943</v>
      </c>
      <c r="R104" s="119">
        <f t="shared" si="22"/>
        <v>381.75764938137831</v>
      </c>
      <c r="S104" s="118" t="str">
        <f t="shared" si="23"/>
        <v/>
      </c>
      <c r="T104" s="118">
        <f t="shared" si="24"/>
        <v>14.125704235341956</v>
      </c>
      <c r="U104" s="118">
        <f t="shared" si="25"/>
        <v>-12.55963084874808</v>
      </c>
      <c r="V104" s="118" t="e">
        <f t="shared" si="26"/>
        <v>#N/A</v>
      </c>
      <c r="W104" s="118" t="e">
        <f t="shared" si="27"/>
        <v>#N/A</v>
      </c>
      <c r="X104" s="118">
        <f>IF(OR(N104="",R104=""),NA(),10*LOG10((G104+'CMOS FOM coeff. calculation'!$Q$3)^'CMOS FOM coeff. calculation'!$P$3*(1000*E104)^'CMOS FOM coeff. calculation'!$N$3*R104^'CMOS FOM coeff. calculation'!$O$3*N104^'CMOS FOM coeff. calculation'!$M$3))</f>
        <v>13.948287430237421</v>
      </c>
      <c r="Y104" s="68"/>
      <c r="Z104" t="s">
        <v>381</v>
      </c>
      <c r="AA104" s="3" t="s">
        <v>5</v>
      </c>
    </row>
    <row r="105" spans="1:27">
      <c r="A105" t="s">
        <v>1740</v>
      </c>
      <c r="B105" s="33" t="s">
        <v>394</v>
      </c>
      <c r="C105" s="33" t="s">
        <v>396</v>
      </c>
      <c r="D105" s="7" t="s">
        <v>395</v>
      </c>
      <c r="E105" s="31">
        <v>0.18</v>
      </c>
      <c r="F105" s="1">
        <v>10.5</v>
      </c>
      <c r="G105" s="1">
        <v>27.25</v>
      </c>
      <c r="H105" s="1">
        <v>-8.6999999999999993</v>
      </c>
      <c r="I105" s="1">
        <v>4.5</v>
      </c>
      <c r="J105" s="1">
        <v>-14.6</v>
      </c>
      <c r="K105" s="1">
        <v>-5.7</v>
      </c>
      <c r="L105" s="1">
        <v>18.600000000000001</v>
      </c>
      <c r="M105" s="1">
        <v>1.8</v>
      </c>
      <c r="N105" s="1">
        <v>9</v>
      </c>
      <c r="O105" s="1">
        <v>0.46</v>
      </c>
      <c r="P105" s="1">
        <v>0.72</v>
      </c>
      <c r="Q105" s="118">
        <f t="shared" si="21"/>
        <v>1.8438349386224488</v>
      </c>
      <c r="R105" s="119">
        <f t="shared" si="22"/>
        <v>534.71213220051015</v>
      </c>
      <c r="S105" s="118">
        <f t="shared" si="23"/>
        <v>2.4772127464643288</v>
      </c>
      <c r="T105" s="118">
        <f t="shared" si="24"/>
        <v>6.1986186538258092</v>
      </c>
      <c r="U105" s="118">
        <f t="shared" si="25"/>
        <v>-2.7946543235926824</v>
      </c>
      <c r="V105" s="118">
        <f t="shared" si="26"/>
        <v>-10.368346037678105</v>
      </c>
      <c r="W105" s="118">
        <f t="shared" si="27"/>
        <v>-6.9643817074449785</v>
      </c>
      <c r="X105" s="118">
        <f>IF(OR(N105="",R105=""),NA(),10*LOG10((G105+'CMOS FOM coeff. calculation'!$Q$3)^'CMOS FOM coeff. calculation'!$P$3*(1000*E105)^'CMOS FOM coeff. calculation'!$N$3*R105^'CMOS FOM coeff. calculation'!$O$3*N105^'CMOS FOM coeff. calculation'!$M$3))</f>
        <v>21.675832872438843</v>
      </c>
      <c r="Y105" s="68"/>
      <c r="Z105" t="s">
        <v>397</v>
      </c>
      <c r="AA105" s="3" t="s">
        <v>5</v>
      </c>
    </row>
    <row r="106" spans="1:27">
      <c r="A106" t="s">
        <v>1825</v>
      </c>
      <c r="B106" s="8" t="s">
        <v>398</v>
      </c>
      <c r="C106" t="s">
        <v>400</v>
      </c>
      <c r="D106" s="7" t="s">
        <v>399</v>
      </c>
      <c r="E106" s="31">
        <v>0.13</v>
      </c>
      <c r="G106" s="1">
        <v>3</v>
      </c>
      <c r="H106" s="1">
        <v>-8.1</v>
      </c>
      <c r="I106" s="1">
        <v>2.85</v>
      </c>
      <c r="K106" s="1">
        <v>-12.5</v>
      </c>
      <c r="L106" s="1">
        <v>19.5</v>
      </c>
      <c r="M106" s="1">
        <v>1.2</v>
      </c>
      <c r="N106" s="1">
        <v>7.2</v>
      </c>
      <c r="Q106" s="118">
        <f t="shared" si="21"/>
        <v>0.93805000738436983</v>
      </c>
      <c r="R106" s="119">
        <f t="shared" si="22"/>
        <v>272.03450214146727</v>
      </c>
      <c r="S106" s="118" t="str">
        <f t="shared" si="23"/>
        <v/>
      </c>
      <c r="T106" s="118">
        <f t="shared" si="24"/>
        <v>11.213315171280861</v>
      </c>
      <c r="U106" s="118" t="e">
        <f t="shared" si="25"/>
        <v>#N/A</v>
      </c>
      <c r="V106" s="118" t="e">
        <f t="shared" si="26"/>
        <v>#N/A</v>
      </c>
      <c r="W106" s="118" t="e">
        <f t="shared" si="27"/>
        <v>#N/A</v>
      </c>
      <c r="X106" s="118">
        <f>IF(OR(N106="",R106=""),NA(),10*LOG10((G106+'CMOS FOM coeff. calculation'!$Q$3)^'CMOS FOM coeff. calculation'!$P$3*(1000*E106)^'CMOS FOM coeff. calculation'!$N$3*R106^'CMOS FOM coeff. calculation'!$O$3*N106^'CMOS FOM coeff. calculation'!$M$3))</f>
        <v>15.881891509486707</v>
      </c>
      <c r="Y106" s="68"/>
      <c r="Z106" t="s">
        <v>401</v>
      </c>
      <c r="AA106" s="3" t="s">
        <v>289</v>
      </c>
    </row>
    <row r="107" spans="1:27">
      <c r="D107" s="13"/>
      <c r="E107" s="31">
        <v>0.13</v>
      </c>
      <c r="G107" s="1">
        <v>5</v>
      </c>
      <c r="H107" s="1">
        <v>-6</v>
      </c>
      <c r="I107" s="1">
        <v>2.86</v>
      </c>
      <c r="K107" s="1">
        <v>-13.8</v>
      </c>
      <c r="L107" s="1">
        <v>20.100000000000001</v>
      </c>
      <c r="M107" s="1">
        <v>1.2</v>
      </c>
      <c r="N107" s="1">
        <v>3.6</v>
      </c>
      <c r="Q107" s="118">
        <f t="shared" si="21"/>
        <v>0.94116573892861821</v>
      </c>
      <c r="R107" s="119">
        <f t="shared" si="22"/>
        <v>272.93806428929929</v>
      </c>
      <c r="S107" s="118" t="str">
        <f t="shared" si="23"/>
        <v/>
      </c>
      <c r="T107" s="118">
        <f t="shared" si="24"/>
        <v>8.7452913687771474</v>
      </c>
      <c r="U107" s="118" t="e">
        <f t="shared" si="25"/>
        <v>#N/A</v>
      </c>
      <c r="V107" s="118" t="e">
        <f t="shared" si="26"/>
        <v>#N/A</v>
      </c>
      <c r="W107" s="118" t="e">
        <f t="shared" si="27"/>
        <v>#N/A</v>
      </c>
      <c r="X107" s="118">
        <f>IF(OR(N107="",R107=""),NA(),10*LOG10((G107+'CMOS FOM coeff. calculation'!$Q$3)^'CMOS FOM coeff. calculation'!$P$3*(1000*E107)^'CMOS FOM coeff. calculation'!$N$3*R107^'CMOS FOM coeff. calculation'!$O$3*N107^'CMOS FOM coeff. calculation'!$M$3))</f>
        <v>17.426446074297949</v>
      </c>
      <c r="Y107" s="68"/>
    </row>
    <row r="108" spans="1:27">
      <c r="A108" t="s">
        <v>1889</v>
      </c>
      <c r="B108" s="8" t="s">
        <v>1890</v>
      </c>
      <c r="C108" s="39" t="s">
        <v>1891</v>
      </c>
      <c r="D108" s="7" t="s">
        <v>1892</v>
      </c>
      <c r="E108" s="31">
        <v>2.8000000000000001E-2</v>
      </c>
      <c r="F108" s="1">
        <v>23</v>
      </c>
      <c r="G108" s="1">
        <v>154.5</v>
      </c>
      <c r="H108" s="1">
        <v>-10</v>
      </c>
      <c r="I108" s="1">
        <v>8.5</v>
      </c>
      <c r="J108" s="1">
        <v>-17.7</v>
      </c>
      <c r="L108" s="1">
        <v>15.7</v>
      </c>
      <c r="N108" s="1">
        <v>32</v>
      </c>
      <c r="O108" s="1">
        <v>0.34</v>
      </c>
      <c r="P108" s="1">
        <v>0.5</v>
      </c>
      <c r="Q108" s="118">
        <f t="shared" si="21"/>
        <v>6.2476145642534684</v>
      </c>
      <c r="R108" s="119">
        <f t="shared" si="22"/>
        <v>1811.8082236335058</v>
      </c>
      <c r="S108" s="118">
        <f t="shared" si="23"/>
        <v>0.61397490795557541</v>
      </c>
      <c r="T108" s="118">
        <f t="shared" si="24"/>
        <v>19.086011904605098</v>
      </c>
      <c r="U108" s="118">
        <f t="shared" si="25"/>
        <v>-14.546919117879789</v>
      </c>
      <c r="V108" s="118">
        <f t="shared" si="26"/>
        <v>-26.929631473769806</v>
      </c>
      <c r="W108" s="118">
        <f t="shared" si="27"/>
        <v>-22.390538687044497</v>
      </c>
      <c r="X108" s="118">
        <f>IF(OR(N108="",R108=""),NA(),10*LOG10((G108+'CMOS FOM coeff. calculation'!$Q$3)^'CMOS FOM coeff. calculation'!$P$3*(1000*E108)^'CMOS FOM coeff. calculation'!$N$3*R108^'CMOS FOM coeff. calculation'!$O$3*N108^'CMOS FOM coeff. calculation'!$M$3))</f>
        <v>22.339097875591001</v>
      </c>
      <c r="Y108" s="68"/>
      <c r="Z108" t="s">
        <v>1893</v>
      </c>
      <c r="AA108" s="3" t="s">
        <v>5</v>
      </c>
    </row>
    <row r="109" spans="1:27">
      <c r="A109" t="s">
        <v>1894</v>
      </c>
      <c r="B109" s="8" t="s">
        <v>1895</v>
      </c>
      <c r="C109" s="14" t="s">
        <v>1896</v>
      </c>
      <c r="D109" s="7" t="s">
        <v>1897</v>
      </c>
      <c r="E109" s="31">
        <v>3.2000000000000001E-2</v>
      </c>
      <c r="F109" s="1">
        <v>11.6</v>
      </c>
      <c r="G109" s="1">
        <v>94.5</v>
      </c>
      <c r="H109" s="1">
        <v>-10</v>
      </c>
      <c r="I109" s="1">
        <v>4.5</v>
      </c>
      <c r="J109" s="1">
        <v>-12</v>
      </c>
      <c r="L109" s="1">
        <v>7.2</v>
      </c>
      <c r="N109" s="1">
        <v>5.2</v>
      </c>
      <c r="P109" s="1">
        <v>0.06</v>
      </c>
      <c r="Q109" s="118">
        <f t="shared" si="21"/>
        <v>2.2464316595507476</v>
      </c>
      <c r="R109" s="119">
        <f t="shared" si="22"/>
        <v>651.46518126971682</v>
      </c>
      <c r="S109" s="118">
        <f t="shared" si="23"/>
        <v>0.26803538703457175</v>
      </c>
      <c r="T109" s="118">
        <f t="shared" si="24"/>
        <v>12.66339815564465</v>
      </c>
      <c r="U109" s="118">
        <f t="shared" si="25"/>
        <v>-9.1152048582215883</v>
      </c>
      <c r="V109" s="118">
        <f t="shared" si="26"/>
        <v>-18.558041473870073</v>
      </c>
      <c r="W109" s="118">
        <f t="shared" si="27"/>
        <v>-15.009848176447012</v>
      </c>
      <c r="X109" s="118">
        <f>IF(OR(N109="",R109=""),NA(),10*LOG10((G109+'CMOS FOM coeff. calculation'!$Q$3)^'CMOS FOM coeff. calculation'!$P$3*(1000*E109)^'CMOS FOM coeff. calculation'!$N$3*R109^'CMOS FOM coeff. calculation'!$O$3*N109^'CMOS FOM coeff. calculation'!$M$3))</f>
        <v>24.503613161534791</v>
      </c>
      <c r="Y109" s="68"/>
      <c r="Z109" t="s">
        <v>1898</v>
      </c>
      <c r="AA109" s="3" t="s">
        <v>5</v>
      </c>
    </row>
    <row r="110" spans="1:27">
      <c r="A110" t="s">
        <v>1899</v>
      </c>
      <c r="B110" s="8" t="s">
        <v>1900</v>
      </c>
      <c r="C110" s="39" t="s">
        <v>1901</v>
      </c>
      <c r="D110" s="7" t="s">
        <v>1902</v>
      </c>
      <c r="E110" s="31">
        <v>4.4999999999999998E-2</v>
      </c>
      <c r="F110" s="1">
        <v>8</v>
      </c>
      <c r="G110" s="1">
        <v>29</v>
      </c>
      <c r="H110" s="1">
        <v>-10</v>
      </c>
      <c r="I110" s="1">
        <v>2.5</v>
      </c>
      <c r="J110" s="1">
        <v>-3</v>
      </c>
      <c r="L110" s="1">
        <v>8.5</v>
      </c>
      <c r="Q110" s="118">
        <f t="shared" si="21"/>
        <v>0.90629730736299718</v>
      </c>
      <c r="R110" s="119">
        <f t="shared" si="22"/>
        <v>262.82621913526918</v>
      </c>
      <c r="S110" s="118">
        <f t="shared" si="23"/>
        <v>3.0469466587084821</v>
      </c>
      <c r="T110" s="118" t="e">
        <f t="shared" si="24"/>
        <v>#N/A</v>
      </c>
      <c r="U110" s="118" t="e">
        <f t="shared" si="25"/>
        <v>#N/A</v>
      </c>
      <c r="V110" s="118" t="e">
        <f t="shared" si="26"/>
        <v>#N/A</v>
      </c>
      <c r="W110" s="118" t="e">
        <f t="shared" si="27"/>
        <v>#N/A</v>
      </c>
      <c r="X110" s="118" t="e">
        <f>IF(OR(N110="",R110=""),NA(),10*LOG10((G110+'CMOS FOM coeff. calculation'!$Q$3)^'CMOS FOM coeff. calculation'!$P$3*(1000*E110)^'CMOS FOM coeff. calculation'!$N$3*R110^'CMOS FOM coeff. calculation'!$O$3*N110^'CMOS FOM coeff. calculation'!$M$3))</f>
        <v>#N/A</v>
      </c>
      <c r="Y110" s="68"/>
      <c r="Z110" t="s">
        <v>1903</v>
      </c>
      <c r="AA110" s="3" t="s">
        <v>5</v>
      </c>
    </row>
    <row r="111" spans="1:27">
      <c r="A111" t="s">
        <v>1899</v>
      </c>
      <c r="B111" t="s">
        <v>2452</v>
      </c>
      <c r="C111" t="s">
        <v>2453</v>
      </c>
      <c r="D111" s="81" t="s">
        <v>2454</v>
      </c>
      <c r="E111" s="31">
        <v>4.4999999999999998E-2</v>
      </c>
      <c r="F111" s="1">
        <v>66</v>
      </c>
      <c r="G111" s="1">
        <v>44</v>
      </c>
      <c r="H111" s="1">
        <v>-10</v>
      </c>
      <c r="I111" s="1">
        <v>6.2</v>
      </c>
      <c r="J111" s="1">
        <v>-1.5</v>
      </c>
      <c r="K111" s="1">
        <v>17.600000000000001</v>
      </c>
      <c r="L111" s="1">
        <v>9</v>
      </c>
      <c r="M111" s="1">
        <v>1.8</v>
      </c>
      <c r="N111" s="1">
        <v>450</v>
      </c>
      <c r="O111" s="1">
        <v>1.1299999999999999</v>
      </c>
      <c r="P111" s="1">
        <f>2.8*0.52</f>
        <v>1.456</v>
      </c>
      <c r="Q111" s="118">
        <f t="shared" si="21"/>
        <v>3.6250621164802932</v>
      </c>
      <c r="R111" s="119">
        <f t="shared" si="22"/>
        <v>1051.268013779285</v>
      </c>
      <c r="S111" s="118">
        <f t="shared" si="23"/>
        <v>4.9154674675193544</v>
      </c>
      <c r="T111" s="118">
        <f t="shared" si="24"/>
        <v>21.438011546319569</v>
      </c>
      <c r="U111" s="118">
        <f t="shared" si="25"/>
        <v>-15.37286509451334</v>
      </c>
      <c r="V111" s="118">
        <f t="shared" si="26"/>
        <v>-28.965721139384751</v>
      </c>
      <c r="W111" s="118">
        <f t="shared" si="27"/>
        <v>-22.900574687578523</v>
      </c>
      <c r="X111" s="118">
        <f>IF(OR(N111="",R111=""),NA(),10*LOG10((G111+'CMOS FOM coeff. calculation'!$Q$3)^'CMOS FOM coeff. calculation'!$P$3*(1000*E111)^'CMOS FOM coeff. calculation'!$N$3*R111^'CMOS FOM coeff. calculation'!$O$3*N111^'CMOS FOM coeff. calculation'!$M$3))</f>
        <v>14.369101206201051</v>
      </c>
      <c r="Y111" s="68"/>
      <c r="Z111" t="s">
        <v>2455</v>
      </c>
      <c r="AA111" s="3"/>
    </row>
    <row r="112" spans="1:27">
      <c r="A112" t="s">
        <v>1904</v>
      </c>
      <c r="B112" s="8" t="s">
        <v>1905</v>
      </c>
      <c r="C112" s="39" t="s">
        <v>1906</v>
      </c>
      <c r="D112" s="7" t="s">
        <v>1907</v>
      </c>
      <c r="E112" s="20">
        <v>4.4999999999999998E-2</v>
      </c>
      <c r="F112" s="1">
        <v>5.25</v>
      </c>
      <c r="G112" s="1">
        <v>27.6</v>
      </c>
      <c r="H112" s="1">
        <v>-10</v>
      </c>
      <c r="I112" s="1">
        <v>3.2</v>
      </c>
      <c r="J112" s="1">
        <v>-9</v>
      </c>
      <c r="K112" s="1">
        <v>5</v>
      </c>
      <c r="L112" s="1">
        <v>11.2</v>
      </c>
      <c r="N112" s="1">
        <v>28</v>
      </c>
      <c r="Q112" s="118">
        <f t="shared" si="21"/>
        <v>1.1787104633489143</v>
      </c>
      <c r="R112" s="119">
        <f t="shared" si="22"/>
        <v>341.82603437118513</v>
      </c>
      <c r="S112" s="118">
        <f t="shared" si="23"/>
        <v>1.5336943662581433</v>
      </c>
      <c r="T112" s="118">
        <f t="shared" si="24"/>
        <v>13.889037427939659</v>
      </c>
      <c r="U112" s="118">
        <f t="shared" si="25"/>
        <v>-11.488506416586469</v>
      </c>
      <c r="V112" s="118">
        <f t="shared" si="26"/>
        <v>-18.407506777623446</v>
      </c>
      <c r="W112" s="118">
        <f t="shared" si="27"/>
        <v>-16.006975766270259</v>
      </c>
      <c r="X112" s="118">
        <f>IF(OR(N112="",R112=""),NA(),10*LOG10((G112+'CMOS FOM coeff. calculation'!$Q$3)^'CMOS FOM coeff. calculation'!$P$3*(1000*E112)^'CMOS FOM coeff. calculation'!$N$3*R112^'CMOS FOM coeff. calculation'!$O$3*N112^'CMOS FOM coeff. calculation'!$M$3))</f>
        <v>18.297450939338592</v>
      </c>
      <c r="Y112" s="68"/>
      <c r="Z112" t="s">
        <v>1908</v>
      </c>
      <c r="AA112" s="3" t="s">
        <v>5</v>
      </c>
    </row>
    <row r="113" spans="1:27">
      <c r="A113" t="s">
        <v>1778</v>
      </c>
      <c r="B113" s="8" t="s">
        <v>1909</v>
      </c>
      <c r="C113" s="39" t="s">
        <v>1910</v>
      </c>
      <c r="D113" s="7" t="s">
        <v>1911</v>
      </c>
      <c r="E113" s="40">
        <v>0.04</v>
      </c>
      <c r="F113" s="1">
        <v>9</v>
      </c>
      <c r="G113" s="1">
        <v>59.5</v>
      </c>
      <c r="H113" s="1">
        <v>-10</v>
      </c>
      <c r="I113" s="1">
        <v>4.3</v>
      </c>
      <c r="K113" s="1">
        <v>-12.8</v>
      </c>
      <c r="L113" s="1">
        <v>6.7</v>
      </c>
      <c r="N113" s="1">
        <v>13.2</v>
      </c>
      <c r="P113" s="1">
        <v>0.53217000000000003</v>
      </c>
      <c r="Q113" s="118">
        <f t="shared" si="21"/>
        <v>2.1515220648685731</v>
      </c>
      <c r="R113" s="119">
        <f t="shared" si="22"/>
        <v>623.94139881188619</v>
      </c>
      <c r="S113" s="118" t="str">
        <f t="shared" si="23"/>
        <v/>
      </c>
      <c r="T113" s="118">
        <f t="shared" si="24"/>
        <v>13.871791491474569</v>
      </c>
      <c r="U113" s="118">
        <f t="shared" si="25"/>
        <v>-10.690983126676819</v>
      </c>
      <c r="V113" s="118" t="e">
        <f t="shared" si="26"/>
        <v>#N/A</v>
      </c>
      <c r="W113" s="118" t="e">
        <f t="shared" si="27"/>
        <v>#N/A</v>
      </c>
      <c r="X113" s="118">
        <f>IF(OR(N113="",R113=""),NA(),10*LOG10((G113+'CMOS FOM coeff. calculation'!$Q$3)^'CMOS FOM coeff. calculation'!$P$3*(1000*E113)^'CMOS FOM coeff. calculation'!$N$3*R113^'CMOS FOM coeff. calculation'!$O$3*N113^'CMOS FOM coeff. calculation'!$M$3))</f>
        <v>21.166327613958043</v>
      </c>
      <c r="Y113" s="68"/>
      <c r="Z113" t="s">
        <v>1912</v>
      </c>
      <c r="AA113" s="3" t="s">
        <v>5</v>
      </c>
    </row>
    <row r="114" spans="1:27" ht="17.25">
      <c r="A114" t="s">
        <v>1778</v>
      </c>
      <c r="B114" t="s">
        <v>2457</v>
      </c>
      <c r="C114" t="s">
        <v>2456</v>
      </c>
      <c r="D114" t="s">
        <v>2458</v>
      </c>
      <c r="E114" s="40">
        <v>0.18</v>
      </c>
      <c r="F114" s="1">
        <v>10</v>
      </c>
      <c r="G114" s="1">
        <v>7</v>
      </c>
      <c r="H114" s="1">
        <v>-10</v>
      </c>
      <c r="I114" s="1">
        <v>6.2</v>
      </c>
      <c r="J114" s="1">
        <v>6</v>
      </c>
      <c r="L114" s="1">
        <v>10</v>
      </c>
      <c r="M114" s="1">
        <v>3.3</v>
      </c>
      <c r="N114" s="1">
        <v>380</v>
      </c>
      <c r="P114" s="1">
        <v>1.89</v>
      </c>
      <c r="Q114" s="118">
        <f t="shared" si="21"/>
        <v>3.5207709274481718</v>
      </c>
      <c r="R114" s="119">
        <f t="shared" si="22"/>
        <v>1021.0235689599698</v>
      </c>
      <c r="S114" s="118">
        <f t="shared" si="23"/>
        <v>35.829645349814754</v>
      </c>
      <c r="T114" s="118">
        <f t="shared" si="24"/>
        <v>18.361369348011117</v>
      </c>
      <c r="U114" s="118">
        <f t="shared" si="25"/>
        <v>-15.028036014677783</v>
      </c>
      <c r="V114" s="118">
        <f t="shared" si="26"/>
        <v>-22.114408122327944</v>
      </c>
      <c r="W114" s="118">
        <f t="shared" si="27"/>
        <v>-18.781074788994609</v>
      </c>
      <c r="X114" s="118">
        <f>IF(OR(N114="",R114=""),NA(),10*LOG10((G114+'CMOS FOM coeff. calculation'!$Q$3)^'CMOS FOM coeff. calculation'!$P$3*(1000*E114)^'CMOS FOM coeff. calculation'!$N$3*R114^'CMOS FOM coeff. calculation'!$O$3*N114^'CMOS FOM coeff. calculation'!$M$3))</f>
        <v>10.072735655289158</v>
      </c>
      <c r="Y114" s="68"/>
      <c r="Z114" t="s">
        <v>2459</v>
      </c>
      <c r="AA114" s="3"/>
    </row>
    <row r="115" spans="1:27">
      <c r="A115" s="80"/>
      <c r="D115" s="7"/>
      <c r="E115" s="40">
        <v>0.18</v>
      </c>
      <c r="F115" s="1">
        <v>9</v>
      </c>
      <c r="G115" s="1">
        <v>7.5</v>
      </c>
      <c r="H115" s="1">
        <v>-10</v>
      </c>
      <c r="I115" s="1">
        <v>5.9</v>
      </c>
      <c r="J115" s="1">
        <v>0.5</v>
      </c>
      <c r="L115" s="1">
        <v>9</v>
      </c>
      <c r="M115" s="1">
        <v>3.3</v>
      </c>
      <c r="N115" s="1">
        <v>132</v>
      </c>
      <c r="P115" s="1">
        <v>1.89</v>
      </c>
      <c r="Q115" s="118">
        <f t="shared" si="21"/>
        <v>3.3067461223164014</v>
      </c>
      <c r="R115" s="119">
        <f t="shared" si="22"/>
        <v>958.95637547175636</v>
      </c>
      <c r="S115" s="118">
        <f t="shared" si="23"/>
        <v>7.7904909270354956</v>
      </c>
      <c r="T115" s="118">
        <f t="shared" si="24"/>
        <v>16.358546476089934</v>
      </c>
      <c r="U115" s="118">
        <f t="shared" si="25"/>
        <v>-13.177738111292184</v>
      </c>
      <c r="V115" s="118">
        <f t="shared" si="26"/>
        <v>-20.889689388035052</v>
      </c>
      <c r="W115" s="118">
        <f t="shared" si="27"/>
        <v>-17.708881023237304</v>
      </c>
      <c r="X115" s="118">
        <f>IF(OR(N115="",R115=""),NA(),10*LOG10((G115+'CMOS FOM coeff. calculation'!$Q$3)^'CMOS FOM coeff. calculation'!$P$3*(1000*E115)^'CMOS FOM coeff. calculation'!$N$3*R115^'CMOS FOM coeff. calculation'!$O$3*N115^'CMOS FOM coeff. calculation'!$M$3))</f>
        <v>11.438764692738166</v>
      </c>
      <c r="Y115" s="68"/>
      <c r="AA115" s="3"/>
    </row>
    <row r="116" spans="1:27" ht="17.25">
      <c r="A116" s="82">
        <v>43647</v>
      </c>
      <c r="B116" s="8" t="s">
        <v>2460</v>
      </c>
      <c r="C116" s="39" t="s">
        <v>2461</v>
      </c>
      <c r="D116" t="s">
        <v>2462</v>
      </c>
      <c r="E116" s="40">
        <v>6.5000000000000002E-2</v>
      </c>
      <c r="F116" s="1">
        <v>2.5</v>
      </c>
      <c r="G116" s="1">
        <v>26.35</v>
      </c>
      <c r="H116" s="1">
        <v>-8.5</v>
      </c>
      <c r="I116" s="1">
        <v>5.5</v>
      </c>
      <c r="J116" s="1">
        <v>-7</v>
      </c>
      <c r="L116" s="1">
        <v>8</v>
      </c>
      <c r="M116" s="1">
        <v>1</v>
      </c>
      <c r="N116" s="1">
        <v>30.5</v>
      </c>
      <c r="O116" s="1">
        <v>0.123</v>
      </c>
      <c r="Q116" s="118">
        <f t="shared" si="21"/>
        <v>3.0280470000130539</v>
      </c>
      <c r="R116" s="119">
        <f t="shared" si="22"/>
        <v>878.1336300037857</v>
      </c>
      <c r="S116" s="118">
        <f t="shared" si="23"/>
        <v>1.0593991802972795</v>
      </c>
      <c r="T116" s="118">
        <f t="shared" si="24"/>
        <v>16.115243363676001</v>
      </c>
      <c r="U116" s="118">
        <f t="shared" si="25"/>
        <v>-14.788776668102543</v>
      </c>
      <c r="V116" s="118">
        <f t="shared" si="26"/>
        <v>-21.758357306912067</v>
      </c>
      <c r="W116" s="118">
        <f t="shared" si="27"/>
        <v>-20.431890611338609</v>
      </c>
      <c r="X116" s="118">
        <f>IF(OR(N116="",R116=""),NA(),10*LOG10((G116+'CMOS FOM coeff. calculation'!$Q$3)^'CMOS FOM coeff. calculation'!$P$3*(1000*E116)^'CMOS FOM coeff. calculation'!$N$3*R116^'CMOS FOM coeff. calculation'!$O$3*N116^'CMOS FOM coeff. calculation'!$M$3))</f>
        <v>15.389565501385608</v>
      </c>
      <c r="Y116" s="68"/>
      <c r="Z116" t="s">
        <v>2463</v>
      </c>
      <c r="AA116" s="3"/>
    </row>
    <row r="117" spans="1:27" ht="18">
      <c r="A117" s="82">
        <v>43770</v>
      </c>
      <c r="B117" s="8" t="s">
        <v>2464</v>
      </c>
      <c r="C117" t="s">
        <v>2465</v>
      </c>
      <c r="D117" t="s">
        <v>2466</v>
      </c>
      <c r="E117" s="40">
        <v>0.04</v>
      </c>
      <c r="F117" s="1">
        <v>6</v>
      </c>
      <c r="G117" s="1">
        <v>63</v>
      </c>
      <c r="H117" s="1">
        <v>-10</v>
      </c>
      <c r="I117" s="1">
        <v>6</v>
      </c>
      <c r="J117" s="1">
        <v>-17</v>
      </c>
      <c r="K117" s="1">
        <v>-19</v>
      </c>
      <c r="L117" s="1">
        <v>19.8</v>
      </c>
      <c r="M117" s="1">
        <v>1.1000000000000001</v>
      </c>
      <c r="N117" s="1">
        <v>18</v>
      </c>
      <c r="P117" s="1">
        <v>0.22</v>
      </c>
      <c r="Q117" s="118">
        <f t="shared" si="21"/>
        <v>3.012617685362029</v>
      </c>
      <c r="R117" s="119">
        <f t="shared" si="22"/>
        <v>873.65912875498839</v>
      </c>
      <c r="S117" s="118">
        <f t="shared" si="23"/>
        <v>1.8855080948135592</v>
      </c>
      <c r="T117" s="118">
        <f t="shared" si="24"/>
        <v>15.617278348890407</v>
      </c>
      <c r="U117" s="118">
        <f t="shared" si="25"/>
        <v>-13.023440847611594</v>
      </c>
      <c r="V117" s="118">
        <f t="shared" si="26"/>
        <v>-20.221427164349102</v>
      </c>
      <c r="W117" s="118">
        <f t="shared" si="27"/>
        <v>-17.627589663070289</v>
      </c>
      <c r="X117" s="118">
        <f>IF(OR(N117="",R117=""),NA(),10*LOG10((G117+'CMOS FOM coeff. calculation'!$Q$3)^'CMOS FOM coeff. calculation'!$P$3*(1000*E117)^'CMOS FOM coeff. calculation'!$N$3*R117^'CMOS FOM coeff. calculation'!$O$3*N117^'CMOS FOM coeff. calculation'!$M$3))</f>
        <v>19.984142763364755</v>
      </c>
      <c r="Y117" s="68"/>
      <c r="Z117" t="s">
        <v>2467</v>
      </c>
      <c r="AA117" s="3"/>
    </row>
    <row r="118" spans="1:27" ht="17.25">
      <c r="A118" s="82">
        <v>43800</v>
      </c>
      <c r="B118" s="8" t="s">
        <v>2472</v>
      </c>
      <c r="C118" t="s">
        <v>2473</v>
      </c>
      <c r="D118" t="s">
        <v>2474</v>
      </c>
      <c r="E118" s="40">
        <v>6.5000000000000002E-2</v>
      </c>
      <c r="F118" s="1">
        <v>4.0999999999999996</v>
      </c>
      <c r="G118" s="1">
        <v>2.35</v>
      </c>
      <c r="H118" s="1">
        <v>-10</v>
      </c>
      <c r="I118" s="1">
        <v>3</v>
      </c>
      <c r="K118" s="1">
        <v>-14.2</v>
      </c>
      <c r="L118" s="1">
        <v>26.7</v>
      </c>
      <c r="M118" s="1">
        <v>1</v>
      </c>
      <c r="N118" s="1">
        <v>13.9</v>
      </c>
      <c r="O118" s="1">
        <f>0.1*0.09</f>
        <v>8.9999999999999993E-3</v>
      </c>
      <c r="Q118" s="118">
        <f t="shared" si="21"/>
        <v>0.99739470704080324</v>
      </c>
      <c r="R118" s="119">
        <f t="shared" si="22"/>
        <v>289.24446504183294</v>
      </c>
      <c r="S118" s="118" t="str">
        <f t="shared" si="23"/>
        <v/>
      </c>
      <c r="T118" s="118">
        <f t="shared" si="24"/>
        <v>17.15275608894116</v>
      </c>
      <c r="U118" s="118">
        <f t="shared" si="25"/>
        <v>-15.110143233208708</v>
      </c>
      <c r="V118" s="118" t="e">
        <f t="shared" si="26"/>
        <v>#N/A</v>
      </c>
      <c r="W118" s="118" t="e">
        <f t="shared" si="27"/>
        <v>#N/A</v>
      </c>
      <c r="X118" s="118">
        <f>IF(OR(N118="",R118=""),NA(),10*LOG10((G118+'CMOS FOM coeff. calculation'!$Q$3)^'CMOS FOM coeff. calculation'!$P$3*(1000*E118)^'CMOS FOM coeff. calculation'!$N$3*R118^'CMOS FOM coeff. calculation'!$O$3*N118^'CMOS FOM coeff. calculation'!$M$3))</f>
        <v>12.6289383445065</v>
      </c>
      <c r="Y118" s="68"/>
      <c r="Z118" t="s">
        <v>2475</v>
      </c>
      <c r="AA118" s="3"/>
    </row>
    <row r="119" spans="1:27" ht="17.25">
      <c r="A119" s="82">
        <v>43831</v>
      </c>
      <c r="B119" s="8" t="s">
        <v>2476</v>
      </c>
      <c r="C119" t="s">
        <v>2477</v>
      </c>
      <c r="D119" t="s">
        <v>2478</v>
      </c>
      <c r="E119" s="40">
        <v>6.5000000000000002E-2</v>
      </c>
      <c r="F119" s="1">
        <v>8.64</v>
      </c>
      <c r="G119" s="1">
        <v>61.56</v>
      </c>
      <c r="H119" s="1">
        <v>-10</v>
      </c>
      <c r="I119" s="1">
        <v>5.4</v>
      </c>
      <c r="L119" s="1">
        <v>20</v>
      </c>
      <c r="M119" s="1">
        <v>1</v>
      </c>
      <c r="N119" s="1">
        <v>44</v>
      </c>
      <c r="P119" s="1">
        <v>0.44</v>
      </c>
      <c r="Q119" s="118">
        <f t="shared" si="21"/>
        <v>2.4922914187124414</v>
      </c>
      <c r="R119" s="119">
        <f t="shared" si="22"/>
        <v>722.76451142660801</v>
      </c>
      <c r="S119" s="118" t="str">
        <f t="shared" si="23"/>
        <v/>
      </c>
      <c r="T119" s="118">
        <f t="shared" si="24"/>
        <v>13.343328313507488</v>
      </c>
      <c r="U119" s="118">
        <f t="shared" si="25"/>
        <v>-10.221615838577844</v>
      </c>
      <c r="V119" s="118" t="e">
        <f t="shared" si="26"/>
        <v>#N/A</v>
      </c>
      <c r="W119" s="118" t="e">
        <f t="shared" si="27"/>
        <v>#N/A</v>
      </c>
      <c r="X119" s="118">
        <f>IF(OR(N119="",R119=""),NA(),10*LOG10((G119+'CMOS FOM coeff. calculation'!$Q$3)^'CMOS FOM coeff. calculation'!$P$3*(1000*E119)^'CMOS FOM coeff. calculation'!$N$3*R119^'CMOS FOM coeff. calculation'!$O$3*N119^'CMOS FOM coeff. calculation'!$M$3))</f>
        <v>21.261316082972254</v>
      </c>
      <c r="Y119" s="68"/>
      <c r="Z119" t="s">
        <v>2479</v>
      </c>
      <c r="AA119" s="3"/>
    </row>
    <row r="120" spans="1:27">
      <c r="A120" s="82">
        <v>43831</v>
      </c>
      <c r="B120" s="8" t="s">
        <v>2480</v>
      </c>
      <c r="C120" t="s">
        <v>2481</v>
      </c>
      <c r="D120" t="s">
        <v>2482</v>
      </c>
      <c r="E120" s="40">
        <v>2.1999999999999999E-2</v>
      </c>
      <c r="F120" s="1">
        <v>12</v>
      </c>
      <c r="G120" s="1">
        <v>77</v>
      </c>
      <c r="H120" s="1">
        <v>-9</v>
      </c>
      <c r="I120" s="1">
        <v>4.5999999999999996</v>
      </c>
      <c r="J120" s="1">
        <v>-27.4</v>
      </c>
      <c r="L120" s="1">
        <v>20</v>
      </c>
      <c r="M120" s="1">
        <v>1</v>
      </c>
      <c r="N120" s="1">
        <v>9</v>
      </c>
      <c r="P120" s="1">
        <v>0.35</v>
      </c>
      <c r="Q120" s="118">
        <f t="shared" si="21"/>
        <v>1.903062124370309</v>
      </c>
      <c r="R120" s="119">
        <f t="shared" si="22"/>
        <v>551.88801606738957</v>
      </c>
      <c r="S120" s="118">
        <f t="shared" si="23"/>
        <v>0.18015038500238828</v>
      </c>
      <c r="T120" s="118">
        <f t="shared" si="24"/>
        <v>15.499764110809316</v>
      </c>
      <c r="U120" s="118">
        <f t="shared" si="25"/>
        <v>-11.902493290650566</v>
      </c>
      <c r="V120" s="118">
        <f t="shared" si="26"/>
        <v>-21.924833180264191</v>
      </c>
      <c r="W120" s="118">
        <f t="shared" si="27"/>
        <v>-18.327562360105443</v>
      </c>
      <c r="X120" s="118">
        <f>IF(OR(N120="",R120=""),NA(),10*LOG10((G120+'CMOS FOM coeff. calculation'!$Q$3)^'CMOS FOM coeff. calculation'!$P$3*(1000*E120)^'CMOS FOM coeff. calculation'!$N$3*R120^'CMOS FOM coeff. calculation'!$O$3*N120^'CMOS FOM coeff. calculation'!$M$3))</f>
        <v>22.011711840042739</v>
      </c>
      <c r="Y120" s="68"/>
      <c r="Z120" t="s">
        <v>2483</v>
      </c>
      <c r="AA120" s="3"/>
    </row>
    <row r="121" spans="1:27">
      <c r="A121" s="82"/>
      <c r="B121" s="8"/>
      <c r="E121" s="40">
        <v>2.1999999999999999E-2</v>
      </c>
      <c r="F121" s="1">
        <v>12</v>
      </c>
      <c r="G121" s="1">
        <v>77</v>
      </c>
      <c r="H121" s="1">
        <v>-10</v>
      </c>
      <c r="I121" s="1">
        <v>4.5999999999999996</v>
      </c>
      <c r="J121" s="1">
        <v>-26.8</v>
      </c>
      <c r="L121" s="1">
        <v>24</v>
      </c>
      <c r="M121" s="1">
        <v>1.6</v>
      </c>
      <c r="N121" s="1">
        <v>16</v>
      </c>
      <c r="P121" s="1">
        <v>0.35</v>
      </c>
      <c r="Q121" s="118">
        <f t="shared" si="21"/>
        <v>1.8915619468725668</v>
      </c>
      <c r="R121" s="119">
        <f t="shared" si="22"/>
        <v>548.55296459304441</v>
      </c>
      <c r="S121" s="118">
        <f t="shared" si="23"/>
        <v>0.52271816411891814</v>
      </c>
      <c r="T121" s="118">
        <f t="shared" si="24"/>
        <v>16.306365049376982</v>
      </c>
      <c r="U121" s="118">
        <f t="shared" si="25"/>
        <v>-12.709094229218232</v>
      </c>
      <c r="V121" s="118">
        <f t="shared" si="26"/>
        <v>-22.022251038835755</v>
      </c>
      <c r="W121" s="118">
        <f t="shared" si="27"/>
        <v>-18.424980218677007</v>
      </c>
      <c r="X121" s="118">
        <f>IF(OR(N121="",R121=""),NA(),10*LOG10((G121+'CMOS FOM coeff. calculation'!$Q$3)^'CMOS FOM coeff. calculation'!$P$3*(1000*E121)^'CMOS FOM coeff. calculation'!$N$3*R121^'CMOS FOM coeff. calculation'!$O$3*N121^'CMOS FOM coeff. calculation'!$M$3))</f>
        <v>21.53564846854843</v>
      </c>
      <c r="Y121" s="68"/>
      <c r="AA121" s="3"/>
    </row>
    <row r="122" spans="1:27">
      <c r="B122" s="8"/>
      <c r="C122" s="39"/>
      <c r="D122" s="7"/>
      <c r="E122" s="40">
        <v>2.1999999999999999E-2</v>
      </c>
      <c r="F122" s="1">
        <v>31</v>
      </c>
      <c r="G122" s="1">
        <v>92</v>
      </c>
      <c r="H122" s="1">
        <v>-10</v>
      </c>
      <c r="I122" s="1">
        <v>5.8</v>
      </c>
      <c r="J122" s="1">
        <v>-22.8</v>
      </c>
      <c r="L122" s="1">
        <v>18.2</v>
      </c>
      <c r="M122" s="1">
        <v>1.6</v>
      </c>
      <c r="N122" s="1">
        <v>16</v>
      </c>
      <c r="P122" s="1">
        <v>0.435</v>
      </c>
      <c r="Q122" s="118">
        <f t="shared" si="21"/>
        <v>2.8449540857838387</v>
      </c>
      <c r="R122" s="119">
        <f t="shared" si="22"/>
        <v>825.03668487731318</v>
      </c>
      <c r="S122" s="118">
        <f t="shared" si="23"/>
        <v>0.34148877585003357</v>
      </c>
      <c r="T122" s="118">
        <f t="shared" si="24"/>
        <v>17.563597966769965</v>
      </c>
      <c r="U122" s="118">
        <f t="shared" si="25"/>
        <v>-12.592392320655723</v>
      </c>
      <c r="V122" s="118">
        <f t="shared" si="26"/>
        <v>-24.153444823722609</v>
      </c>
      <c r="W122" s="118">
        <f t="shared" si="27"/>
        <v>-19.182239177608366</v>
      </c>
      <c r="X122" s="118">
        <f>IF(OR(N122="",R122=""),NA(),10*LOG10((G122+'CMOS FOM coeff. calculation'!$Q$3)^'CMOS FOM coeff. calculation'!$P$3*(1000*E122)^'CMOS FOM coeff. calculation'!$N$3*R122^'CMOS FOM coeff. calculation'!$O$3*N122^'CMOS FOM coeff. calculation'!$M$3))</f>
        <v>21.262949798196992</v>
      </c>
      <c r="Y122" s="68"/>
      <c r="AA122" s="3"/>
    </row>
    <row r="123" spans="1:27" ht="18.75">
      <c r="A123" s="82">
        <v>43831</v>
      </c>
      <c r="B123" s="8" t="s">
        <v>2484</v>
      </c>
      <c r="C123" t="s">
        <v>2485</v>
      </c>
      <c r="D123" t="s">
        <v>2486</v>
      </c>
      <c r="E123" s="40">
        <v>6.5000000000000002E-2</v>
      </c>
      <c r="F123" s="1">
        <v>19</v>
      </c>
      <c r="G123" s="1">
        <v>9.5</v>
      </c>
      <c r="H123" s="1">
        <v>-10</v>
      </c>
      <c r="I123" s="1">
        <v>3.3</v>
      </c>
      <c r="J123" s="1">
        <v>-8</v>
      </c>
      <c r="K123" s="1">
        <v>6.8</v>
      </c>
      <c r="L123" s="1">
        <v>12.8</v>
      </c>
      <c r="M123" s="1">
        <v>1.6</v>
      </c>
      <c r="N123" s="1">
        <v>20.3</v>
      </c>
      <c r="O123" s="1">
        <v>9.6000000000000002E-2</v>
      </c>
      <c r="Q123" s="118">
        <f t="shared" si="21"/>
        <v>1.2009909927721951</v>
      </c>
      <c r="R123" s="119">
        <f t="shared" si="22"/>
        <v>348.28738790393658</v>
      </c>
      <c r="S123" s="118">
        <f t="shared" si="23"/>
        <v>2.8614624011559049</v>
      </c>
      <c r="T123" s="118">
        <f t="shared" si="24"/>
        <v>14.463382172018715</v>
      </c>
      <c r="U123" s="118">
        <f t="shared" si="25"/>
        <v>-10.20087016884262</v>
      </c>
      <c r="V123" s="118">
        <f t="shared" si="26"/>
        <v>-16.601865358936593</v>
      </c>
      <c r="W123" s="118">
        <f t="shared" si="27"/>
        <v>-12.339353355760498</v>
      </c>
      <c r="X123" s="118">
        <f>IF(OR(N123="",R123=""),NA(),10*LOG10((G123+'CMOS FOM coeff. calculation'!$Q$3)^'CMOS FOM coeff. calculation'!$P$3*(1000*E123)^'CMOS FOM coeff. calculation'!$N$3*R123^'CMOS FOM coeff. calculation'!$O$3*N123^'CMOS FOM coeff. calculation'!$M$3))</f>
        <v>14.692928607260471</v>
      </c>
      <c r="Y123" s="68"/>
      <c r="Z123" t="s">
        <v>2487</v>
      </c>
      <c r="AA123" s="3"/>
    </row>
    <row r="124" spans="1:27">
      <c r="A124" s="82">
        <v>44013</v>
      </c>
      <c r="B124" s="8" t="s">
        <v>2488</v>
      </c>
      <c r="C124" t="s">
        <v>2489</v>
      </c>
      <c r="D124" t="s">
        <v>2490</v>
      </c>
      <c r="E124" s="40">
        <v>2.1999999999999999E-2</v>
      </c>
      <c r="F124" s="1">
        <v>24</v>
      </c>
      <c r="G124" s="1">
        <v>32</v>
      </c>
      <c r="H124" s="1">
        <v>-8</v>
      </c>
      <c r="I124" s="1">
        <v>3.3</v>
      </c>
      <c r="J124" s="1">
        <v>-20.399999999999999</v>
      </c>
      <c r="K124" s="1">
        <v>-13.2</v>
      </c>
      <c r="L124" s="1">
        <v>23</v>
      </c>
      <c r="M124" s="1">
        <v>1</v>
      </c>
      <c r="N124" s="1">
        <v>20.5</v>
      </c>
      <c r="Q124" s="118">
        <f t="shared" si="21"/>
        <v>1.1436941385162189</v>
      </c>
      <c r="R124" s="119">
        <f t="shared" si="22"/>
        <v>331.6713001697035</v>
      </c>
      <c r="S124" s="118">
        <f t="shared" si="23"/>
        <v>1.8105807502164231</v>
      </c>
      <c r="T124" s="118">
        <f t="shared" si="24"/>
        <v>17.022309557110876</v>
      </c>
      <c r="U124" s="118">
        <f t="shared" si="25"/>
        <v>-12.42160541807219</v>
      </c>
      <c r="V124" s="118">
        <f t="shared" si="26"/>
        <v>-20.027338295388173</v>
      </c>
      <c r="W124" s="118">
        <f t="shared" si="27"/>
        <v>-15.426634156349486</v>
      </c>
      <c r="X124" s="118">
        <f>IF(OR(N124="",R124=""),NA(),10*LOG10((G124+'CMOS FOM coeff. calculation'!$Q$3)^'CMOS FOM coeff. calculation'!$P$3*(1000*E124)^'CMOS FOM coeff. calculation'!$N$3*R124^'CMOS FOM coeff. calculation'!$O$3*N124^'CMOS FOM coeff. calculation'!$M$3))</f>
        <v>17.379919515657399</v>
      </c>
      <c r="Y124" s="68"/>
      <c r="Z124" t="s">
        <v>2491</v>
      </c>
      <c r="AA124" s="3"/>
    </row>
    <row r="125" spans="1:27" ht="17.25">
      <c r="A125" s="82">
        <v>44013</v>
      </c>
      <c r="B125" s="8" t="s">
        <v>2492</v>
      </c>
      <c r="C125" t="s">
        <v>2493</v>
      </c>
      <c r="D125" t="s">
        <v>2494</v>
      </c>
      <c r="E125" s="40">
        <v>6.5000000000000002E-2</v>
      </c>
      <c r="F125" s="1">
        <v>12</v>
      </c>
      <c r="G125" s="1">
        <v>61</v>
      </c>
      <c r="H125" s="1">
        <v>-10</v>
      </c>
      <c r="M125" s="1">
        <v>1</v>
      </c>
      <c r="N125" s="1">
        <v>21</v>
      </c>
      <c r="O125" s="1">
        <v>0.06</v>
      </c>
      <c r="Q125" s="118" t="str">
        <f t="shared" si="21"/>
        <v/>
      </c>
      <c r="R125" s="119" t="str">
        <f t="shared" si="22"/>
        <v/>
      </c>
      <c r="S125" s="118" t="str">
        <f t="shared" si="23"/>
        <v/>
      </c>
      <c r="T125" s="118" t="e">
        <f t="shared" si="24"/>
        <v>#N/A</v>
      </c>
      <c r="U125" s="118" t="e">
        <f t="shared" si="25"/>
        <v>#N/A</v>
      </c>
      <c r="V125" s="118" t="e">
        <f t="shared" si="26"/>
        <v>#N/A</v>
      </c>
      <c r="W125" s="118" t="e">
        <f t="shared" si="27"/>
        <v>#N/A</v>
      </c>
      <c r="X125" s="118" t="e">
        <f>IF(OR(N125="",R125=""),NA(),10*LOG10((G125+'CMOS FOM coeff. calculation'!$Q$3)^'CMOS FOM coeff. calculation'!$P$3*(1000*E125)^'CMOS FOM coeff. calculation'!$N$3*R125^'CMOS FOM coeff. calculation'!$O$3*N125^'CMOS FOM coeff. calculation'!$M$3))</f>
        <v>#N/A</v>
      </c>
      <c r="Y125" s="68"/>
      <c r="Z125" s="66" t="s">
        <v>2498</v>
      </c>
      <c r="AA125" s="3"/>
    </row>
    <row r="126" spans="1:27" ht="18">
      <c r="A126" s="82">
        <v>44075</v>
      </c>
      <c r="B126" s="8" t="s">
        <v>2495</v>
      </c>
      <c r="C126" s="39" t="s">
        <v>2496</v>
      </c>
      <c r="D126" t="s">
        <v>2497</v>
      </c>
      <c r="E126" s="40">
        <v>6.5000000000000002E-2</v>
      </c>
      <c r="F126" s="1">
        <v>7.9</v>
      </c>
      <c r="G126" s="1">
        <v>28.35</v>
      </c>
      <c r="H126" s="1">
        <v>-5</v>
      </c>
      <c r="I126" s="1">
        <v>4</v>
      </c>
      <c r="J126" s="1">
        <v>-23</v>
      </c>
      <c r="L126" s="1">
        <v>24.4</v>
      </c>
      <c r="M126" s="1">
        <v>1.1000000000000001</v>
      </c>
      <c r="N126" s="1">
        <v>22</v>
      </c>
      <c r="O126" s="1">
        <v>0.12</v>
      </c>
      <c r="Q126" s="118">
        <f t="shared" si="21"/>
        <v>1.5173957625273289</v>
      </c>
      <c r="R126" s="119">
        <f t="shared" si="22"/>
        <v>440.04477113292535</v>
      </c>
      <c r="S126" s="118">
        <f t="shared" si="23"/>
        <v>1.3753723922666126</v>
      </c>
      <c r="T126" s="118">
        <f t="shared" si="24"/>
        <v>12.429865761852101</v>
      </c>
      <c r="U126" s="118">
        <f t="shared" si="25"/>
        <v>-9.4377754575506287</v>
      </c>
      <c r="V126" s="118">
        <f t="shared" si="26"/>
        <v>-17.328095089041419</v>
      </c>
      <c r="W126" s="118">
        <f t="shared" si="27"/>
        <v>-14.336004784739947</v>
      </c>
      <c r="X126" s="118">
        <f>IF(OR(N126="",R126=""),NA(),10*LOG10((G126+'CMOS FOM coeff. calculation'!$Q$3)^'CMOS FOM coeff. calculation'!$P$3*(1000*E126)^'CMOS FOM coeff. calculation'!$N$3*R126^'CMOS FOM coeff. calculation'!$O$3*N126^'CMOS FOM coeff. calculation'!$M$3))</f>
        <v>18.792067639889009</v>
      </c>
      <c r="Y126" s="68"/>
      <c r="Z126" s="83" t="s">
        <v>2499</v>
      </c>
      <c r="AA126" s="3"/>
    </row>
    <row r="127" spans="1:27">
      <c r="B127" s="8"/>
      <c r="C127" s="39"/>
      <c r="D127" s="7"/>
      <c r="E127" s="40">
        <v>6.5000000000000002E-2</v>
      </c>
      <c r="F127" s="1">
        <v>7.9</v>
      </c>
      <c r="G127" s="1">
        <v>28.35</v>
      </c>
      <c r="H127" s="1">
        <v>-5</v>
      </c>
      <c r="I127" s="1">
        <v>4.4000000000000004</v>
      </c>
      <c r="J127" s="1">
        <v>-23</v>
      </c>
      <c r="L127" s="1">
        <v>22.3</v>
      </c>
      <c r="M127" s="1">
        <v>0.95</v>
      </c>
      <c r="N127" s="1">
        <v>14</v>
      </c>
      <c r="O127" s="1">
        <v>0.12</v>
      </c>
      <c r="Q127" s="118">
        <f t="shared" si="21"/>
        <v>1.7646195536208276</v>
      </c>
      <c r="R127" s="119">
        <f t="shared" si="22"/>
        <v>511.73967055003999</v>
      </c>
      <c r="S127" s="118">
        <f t="shared" si="23"/>
        <v>0.84612616586610345</v>
      </c>
      <c r="T127" s="118">
        <f t="shared" si="24"/>
        <v>12.431072481859058</v>
      </c>
      <c r="U127" s="118">
        <f t="shared" si="25"/>
        <v>-9.4389821775575857</v>
      </c>
      <c r="V127" s="118">
        <f t="shared" si="26"/>
        <v>-17.37827024864454</v>
      </c>
      <c r="W127" s="118">
        <f t="shared" si="27"/>
        <v>-14.386179944343068</v>
      </c>
      <c r="X127" s="118">
        <f>IF(OR(N127="",R127=""),NA(),10*LOG10((G127+'CMOS FOM coeff. calculation'!$Q$3)^'CMOS FOM coeff. calculation'!$P$3*(1000*E127)^'CMOS FOM coeff. calculation'!$N$3*R127^'CMOS FOM coeff. calculation'!$O$3*N127^'CMOS FOM coeff. calculation'!$M$3))</f>
        <v>18.594686946738783</v>
      </c>
      <c r="Y127" s="68"/>
      <c r="AA127" s="3"/>
    </row>
    <row r="128" spans="1:27">
      <c r="B128" s="8"/>
      <c r="C128" s="39"/>
      <c r="D128" s="7"/>
      <c r="E128" s="40">
        <v>6.5000000000000002E-2</v>
      </c>
      <c r="F128" s="1">
        <v>7.9</v>
      </c>
      <c r="G128" s="1">
        <v>28.35</v>
      </c>
      <c r="H128" s="1">
        <v>-5</v>
      </c>
      <c r="I128" s="1">
        <v>4.5999999999999996</v>
      </c>
      <c r="J128" s="1">
        <v>-22</v>
      </c>
      <c r="L128" s="1">
        <v>20.399999999999999</v>
      </c>
      <c r="M128" s="1">
        <v>0.85</v>
      </c>
      <c r="N128" s="1">
        <v>9.9</v>
      </c>
      <c r="O128" s="1">
        <v>0.12</v>
      </c>
      <c r="Q128" s="118">
        <f t="shared" si="21"/>
        <v>1.9013722239051232</v>
      </c>
      <c r="R128" s="119">
        <f t="shared" si="22"/>
        <v>551.39794493248576</v>
      </c>
      <c r="S128" s="118">
        <f t="shared" si="23"/>
        <v>0.68552139747413443</v>
      </c>
      <c r="T128" s="118">
        <f t="shared" si="24"/>
        <v>12.253590257752322</v>
      </c>
      <c r="U128" s="118">
        <f t="shared" si="25"/>
        <v>-9.2614999534508495</v>
      </c>
      <c r="V128" s="118">
        <f t="shared" si="26"/>
        <v>-17.003858922125108</v>
      </c>
      <c r="W128" s="118">
        <f t="shared" si="27"/>
        <v>-14.011768617823636</v>
      </c>
      <c r="X128" s="118">
        <f>IF(OR(N128="",R128=""),NA(),10*LOG10((G128+'CMOS FOM coeff. calculation'!$Q$3)^'CMOS FOM coeff. calculation'!$P$3*(1000*E128)^'CMOS FOM coeff. calculation'!$N$3*R128^'CMOS FOM coeff. calculation'!$O$3*N128^'CMOS FOM coeff. calculation'!$M$3))</f>
        <v>18.603928107354154</v>
      </c>
      <c r="Y128" s="68"/>
      <c r="AA128" s="3"/>
    </row>
    <row r="129" spans="1:27">
      <c r="B129" s="8"/>
      <c r="C129" s="39"/>
      <c r="D129" s="7"/>
      <c r="E129" s="40">
        <v>6.5000000000000002E-2</v>
      </c>
      <c r="F129" s="1">
        <v>8.5</v>
      </c>
      <c r="G129" s="1">
        <v>28.25</v>
      </c>
      <c r="H129" s="1">
        <v>-5</v>
      </c>
      <c r="I129" s="1">
        <v>5.2</v>
      </c>
      <c r="J129" s="1">
        <v>-21</v>
      </c>
      <c r="L129" s="1">
        <v>22.1</v>
      </c>
      <c r="M129" s="1">
        <v>1.1000000000000001</v>
      </c>
      <c r="N129" s="1">
        <v>19.3</v>
      </c>
      <c r="O129" s="1">
        <v>0.12</v>
      </c>
      <c r="Q129" s="118">
        <f t="shared" si="21"/>
        <v>2.3256510630413634</v>
      </c>
      <c r="R129" s="119">
        <f t="shared" si="22"/>
        <v>674.43880828199542</v>
      </c>
      <c r="S129" s="118">
        <f t="shared" si="23"/>
        <v>1.2803062693458911</v>
      </c>
      <c r="T129" s="118">
        <f t="shared" si="24"/>
        <v>14.10500213807294</v>
      </c>
      <c r="U129" s="118">
        <f t="shared" si="25"/>
        <v>-11.006939052358632</v>
      </c>
      <c r="V129" s="118">
        <f t="shared" si="26"/>
        <v>-18.912252956994976</v>
      </c>
      <c r="W129" s="118">
        <f t="shared" si="27"/>
        <v>-15.814189871280668</v>
      </c>
      <c r="X129" s="118">
        <f>IF(OR(N129="",R129=""),NA(),10*LOG10((G129+'CMOS FOM coeff. calculation'!$Q$3)^'CMOS FOM coeff. calculation'!$P$3*(1000*E129)^'CMOS FOM coeff. calculation'!$N$3*R129^'CMOS FOM coeff. calculation'!$O$3*N129^'CMOS FOM coeff. calculation'!$M$3))</f>
        <v>17.216349799103927</v>
      </c>
      <c r="Y129" s="68"/>
      <c r="AA129" s="3"/>
    </row>
    <row r="130" spans="1:27">
      <c r="A130" s="82">
        <v>44136</v>
      </c>
      <c r="B130" s="8" t="s">
        <v>2504</v>
      </c>
      <c r="C130" s="39" t="s">
        <v>2505</v>
      </c>
      <c r="D130" t="s">
        <v>2507</v>
      </c>
      <c r="E130" s="40">
        <v>4.4999999999999998E-2</v>
      </c>
      <c r="F130" s="1">
        <v>20</v>
      </c>
      <c r="G130" s="1">
        <v>30</v>
      </c>
      <c r="H130" s="1">
        <v>-10</v>
      </c>
      <c r="I130" s="1">
        <v>2.5</v>
      </c>
      <c r="J130" s="1">
        <v>-17</v>
      </c>
      <c r="K130" s="1">
        <v>-7</v>
      </c>
      <c r="L130" s="1">
        <v>21.2</v>
      </c>
      <c r="M130" s="1">
        <v>1</v>
      </c>
      <c r="N130" s="1">
        <v>18</v>
      </c>
      <c r="Q130" s="118">
        <f t="shared" si="21"/>
        <v>0.78422839074815065</v>
      </c>
      <c r="R130" s="119">
        <f t="shared" si="22"/>
        <v>227.42623331696367</v>
      </c>
      <c r="S130" s="118">
        <f t="shared" si="23"/>
        <v>2.6103153687456953</v>
      </c>
      <c r="T130" s="118">
        <f t="shared" si="24"/>
        <v>11.23835874160485</v>
      </c>
      <c r="U130" s="118">
        <f t="shared" si="25"/>
        <v>-6.9015920893915803</v>
      </c>
      <c r="V130" s="118">
        <f t="shared" si="26"/>
        <v>-14.468069719008012</v>
      </c>
      <c r="W130" s="118">
        <f t="shared" si="27"/>
        <v>-10.131303066794743</v>
      </c>
      <c r="X130" s="118">
        <f>IF(OR(N130="",R130=""),NA(),10*LOG10((G130+'CMOS FOM coeff. calculation'!$Q$3)^'CMOS FOM coeff. calculation'!$P$3*(1000*E130)^'CMOS FOM coeff. calculation'!$N$3*R130^'CMOS FOM coeff. calculation'!$O$3*N130^'CMOS FOM coeff. calculation'!$M$3))</f>
        <v>20.75882294635548</v>
      </c>
      <c r="Y130" s="68"/>
      <c r="Z130" s="66" t="s">
        <v>2508</v>
      </c>
      <c r="AA130" s="3"/>
    </row>
    <row r="131" spans="1:27">
      <c r="A131" s="82">
        <v>44136</v>
      </c>
      <c r="B131" s="8" t="s">
        <v>2509</v>
      </c>
      <c r="C131" t="s">
        <v>2510</v>
      </c>
      <c r="D131" t="s">
        <v>2511</v>
      </c>
      <c r="E131" s="40">
        <v>4.4999999999999998E-2</v>
      </c>
      <c r="F131" s="1">
        <v>31</v>
      </c>
      <c r="G131" s="1">
        <f>(48+17)/2</f>
        <v>32.5</v>
      </c>
      <c r="H131" s="1">
        <v>-10</v>
      </c>
      <c r="I131" s="1">
        <v>2.8</v>
      </c>
      <c r="J131" s="1">
        <v>-20</v>
      </c>
      <c r="L131" s="1">
        <v>21</v>
      </c>
      <c r="M131" s="1">
        <v>1.5</v>
      </c>
      <c r="N131" s="1">
        <v>25</v>
      </c>
      <c r="Q131" s="118">
        <f t="shared" ref="Q131:Q187" si="28">IF(OR(I131="",L131=""),"",(10^(I131/10)-1)*10^(L131/10)/(10^(L131/10)-1))</f>
        <v>0.91271063624829907</v>
      </c>
      <c r="R131" s="119">
        <f t="shared" ref="R131:R187" si="29">IF(Q131="","",290*Q131)</f>
        <v>264.68608451200674</v>
      </c>
      <c r="S131" s="118">
        <f t="shared" ref="S131:S172" si="30">IF(OR(J131="",L131=""),"",10^(J131/10)*(10^(L131/10)-1))</f>
        <v>1.2489254117941677</v>
      </c>
      <c r="T131" s="118">
        <f t="shared" ref="T131:T172" si="31">IF(OR(Q131="",N131="",E131="",G131=""),NA(),10*LOG10(Q131*N131^(1/3)*E131^(-4/3)*G131^(-2/3)))</f>
        <v>12.141075221360719</v>
      </c>
      <c r="U131" s="118">
        <f t="shared" ref="U131:U172" si="32">IF(OR(ISNA(T131),F131=""),NA(),10*LOG10(F131^(1/3))-T131)</f>
        <v>-7.1698695752464774</v>
      </c>
      <c r="V131" s="118">
        <f t="shared" ref="V131:V157" si="33">IF(OR(ISNA(T131),S131=""),NA(),10*LOG10(S131^(1/3)*E131*G131^(1/3)/Q131/N131^(2/3)))</f>
        <v>-17.029406491933393</v>
      </c>
      <c r="W131" s="118">
        <f t="shared" ref="W131:W157" si="34">IF(OR(ISNA(V131),F131=""),NA(),V131+10*LOG10(F131^(1/3)))</f>
        <v>-12.058200845819151</v>
      </c>
      <c r="X131" s="118">
        <f>IF(OR(N131="",R131=""),NA(),10*LOG10((G131+'CMOS FOM coeff. calculation'!$Q$3)^'CMOS FOM coeff. calculation'!$P$3*(1000*E131)^'CMOS FOM coeff. calculation'!$N$3*R131^'CMOS FOM coeff. calculation'!$O$3*N131^'CMOS FOM coeff. calculation'!$M$3))</f>
        <v>20.358365204929065</v>
      </c>
      <c r="Y131" s="68"/>
      <c r="Z131" s="66" t="s">
        <v>2512</v>
      </c>
      <c r="AA131" s="3"/>
    </row>
    <row r="132" spans="1:27">
      <c r="A132" s="82">
        <v>44105</v>
      </c>
      <c r="B132" s="8" t="s">
        <v>2513</v>
      </c>
      <c r="C132" t="s">
        <v>2514</v>
      </c>
      <c r="D132" s="7" t="s">
        <v>2515</v>
      </c>
      <c r="E132" s="40">
        <v>2.1999999999999999E-2</v>
      </c>
      <c r="F132" s="1">
        <v>11.6</v>
      </c>
      <c r="G132" s="1">
        <f>(32.8+21.6)/2</f>
        <v>27.2</v>
      </c>
      <c r="H132" s="1">
        <v>-5</v>
      </c>
      <c r="I132" s="1">
        <v>2.65</v>
      </c>
      <c r="L132" s="1">
        <v>7.8</v>
      </c>
      <c r="M132" s="1">
        <v>0.8</v>
      </c>
      <c r="N132" s="1">
        <v>6</v>
      </c>
      <c r="O132" s="1">
        <v>0.12</v>
      </c>
      <c r="Q132" s="118">
        <f t="shared" si="28"/>
        <v>1.008069974637964</v>
      </c>
      <c r="R132" s="119">
        <f t="shared" si="29"/>
        <v>292.34029264500958</v>
      </c>
      <c r="S132" s="118" t="str">
        <f t="shared" si="30"/>
        <v/>
      </c>
      <c r="T132" s="118">
        <f t="shared" si="31"/>
        <v>15.165982524837675</v>
      </c>
      <c r="U132" s="118">
        <f t="shared" si="32"/>
        <v>-11.617789227414614</v>
      </c>
      <c r="V132" s="118" t="e">
        <f t="shared" si="33"/>
        <v>#N/A</v>
      </c>
      <c r="W132" s="118" t="e">
        <f t="shared" si="34"/>
        <v>#N/A</v>
      </c>
      <c r="X132" s="118">
        <f>IF(OR(N132="",R132=""),NA(),10*LOG10((G132+'CMOS FOM coeff. calculation'!$Q$3)^'CMOS FOM coeff. calculation'!$P$3*(1000*E132)^'CMOS FOM coeff. calculation'!$N$3*R132^'CMOS FOM coeff. calculation'!$O$3*N132^'CMOS FOM coeff. calculation'!$M$3))</f>
        <v>17.987664991040884</v>
      </c>
      <c r="Y132" s="68"/>
      <c r="Z132" s="66" t="s">
        <v>2516</v>
      </c>
      <c r="AA132" s="3"/>
    </row>
    <row r="133" spans="1:27">
      <c r="A133" s="82"/>
      <c r="B133" s="8"/>
      <c r="D133" s="7"/>
      <c r="E133" s="40">
        <v>2.1999999999999999E-2</v>
      </c>
      <c r="F133" s="1">
        <v>11.2</v>
      </c>
      <c r="G133" s="1">
        <f>(32.8+21.6)/2</f>
        <v>27.2</v>
      </c>
      <c r="H133" s="1">
        <v>-5</v>
      </c>
      <c r="I133" s="1">
        <v>2.2000000000000002</v>
      </c>
      <c r="J133" s="1">
        <v>-3</v>
      </c>
      <c r="K133" s="1">
        <v>7.5</v>
      </c>
      <c r="L133" s="1">
        <v>10.199999999999999</v>
      </c>
      <c r="M133" s="1">
        <v>1.6</v>
      </c>
      <c r="N133" s="1">
        <v>15</v>
      </c>
      <c r="O133" s="1">
        <v>0.12</v>
      </c>
      <c r="Q133" s="118">
        <f t="shared" si="28"/>
        <v>0.72922760286321642</v>
      </c>
      <c r="R133" s="119">
        <f t="shared" si="29"/>
        <v>211.47600483033276</v>
      </c>
      <c r="S133" s="118">
        <f t="shared" si="30"/>
        <v>4.7468873688704551</v>
      </c>
      <c r="T133" s="118">
        <f t="shared" si="31"/>
        <v>15.086173418583279</v>
      </c>
      <c r="U133" s="118">
        <f t="shared" si="32"/>
        <v>-11.588780009682674</v>
      </c>
      <c r="V133" s="118">
        <f t="shared" si="33"/>
        <v>-16.008419807700601</v>
      </c>
      <c r="W133" s="118">
        <f t="shared" si="34"/>
        <v>-12.511026398799997</v>
      </c>
      <c r="X133" s="118">
        <f>IF(OR(N133="",R133=""),NA(),10*LOG10((G133+'CMOS FOM coeff. calculation'!$Q$3)^'CMOS FOM coeff. calculation'!$P$3*(1000*E133)^'CMOS FOM coeff. calculation'!$N$3*R133^'CMOS FOM coeff. calculation'!$O$3*N133^'CMOS FOM coeff. calculation'!$M$3))</f>
        <v>18.457433195341878</v>
      </c>
      <c r="Y133" s="68"/>
      <c r="AA133" s="3"/>
    </row>
    <row r="134" spans="1:27">
      <c r="B134" s="8"/>
      <c r="C134" s="39"/>
      <c r="D134" s="7"/>
      <c r="E134" s="40">
        <v>2.1999999999999999E-2</v>
      </c>
      <c r="F134" s="1">
        <v>9.6</v>
      </c>
      <c r="G134" s="1">
        <f>(29+19.5)/2</f>
        <v>24.25</v>
      </c>
      <c r="H134" s="1">
        <v>-5</v>
      </c>
      <c r="I134" s="1">
        <v>2.1800000000000002</v>
      </c>
      <c r="L134" s="1">
        <v>16.899999999999999</v>
      </c>
      <c r="M134" s="1">
        <v>0.4</v>
      </c>
      <c r="N134" s="1">
        <v>3.2</v>
      </c>
      <c r="O134" s="1">
        <v>0.19</v>
      </c>
      <c r="Q134" s="118">
        <f t="shared" si="28"/>
        <v>0.66555059731537813</v>
      </c>
      <c r="R134" s="119">
        <f t="shared" si="29"/>
        <v>193.00967322145965</v>
      </c>
      <c r="S134" s="118" t="str">
        <f t="shared" si="30"/>
        <v/>
      </c>
      <c r="T134" s="118">
        <f t="shared" si="31"/>
        <v>12.78526333925922</v>
      </c>
      <c r="U134" s="118">
        <f t="shared" si="32"/>
        <v>-9.5110258957939919</v>
      </c>
      <c r="V134" s="118" t="e">
        <f t="shared" si="33"/>
        <v>#N/A</v>
      </c>
      <c r="W134" s="118" t="e">
        <f t="shared" si="34"/>
        <v>#N/A</v>
      </c>
      <c r="X134" s="118">
        <f>IF(OR(N134="",R134=""),NA(),10*LOG10((G134+'CMOS FOM coeff. calculation'!$Q$3)^'CMOS FOM coeff. calculation'!$P$3*(1000*E134)^'CMOS FOM coeff. calculation'!$N$3*R134^'CMOS FOM coeff. calculation'!$O$3*N134^'CMOS FOM coeff. calculation'!$M$3))</f>
        <v>19.514374012904273</v>
      </c>
      <c r="Y134" s="68"/>
      <c r="AA134" s="3"/>
    </row>
    <row r="135" spans="1:27">
      <c r="B135" s="8"/>
      <c r="C135" s="39"/>
      <c r="D135" s="7"/>
      <c r="E135" s="40">
        <v>2.1999999999999999E-2</v>
      </c>
      <c r="F135" s="1">
        <v>9</v>
      </c>
      <c r="G135" s="1">
        <f>(29+19.5)/2</f>
        <v>24.25</v>
      </c>
      <c r="H135" s="1">
        <v>-5</v>
      </c>
      <c r="I135" s="1">
        <v>2.08</v>
      </c>
      <c r="K135" s="1">
        <v>2.6</v>
      </c>
      <c r="L135" s="1">
        <v>20.100000000000001</v>
      </c>
      <c r="M135" s="1">
        <v>0.8</v>
      </c>
      <c r="N135" s="1">
        <v>9.6</v>
      </c>
      <c r="O135" s="1">
        <v>0.19</v>
      </c>
      <c r="Q135" s="118">
        <f t="shared" si="28"/>
        <v>0.62042154711169184</v>
      </c>
      <c r="R135" s="119">
        <f t="shared" si="29"/>
        <v>179.92224866239064</v>
      </c>
      <c r="S135" s="118" t="str">
        <f t="shared" si="30"/>
        <v/>
      </c>
      <c r="T135" s="118">
        <f t="shared" si="31"/>
        <v>14.070725469855228</v>
      </c>
      <c r="U135" s="118">
        <f t="shared" si="32"/>
        <v>-10.889917105057478</v>
      </c>
      <c r="V135" s="118" t="e">
        <f t="shared" si="33"/>
        <v>#N/A</v>
      </c>
      <c r="W135" s="118" t="e">
        <f t="shared" si="34"/>
        <v>#N/A</v>
      </c>
      <c r="X135" s="118">
        <f>IF(OR(N135="",R135=""),NA(),10*LOG10((G135+'CMOS FOM coeff. calculation'!$Q$3)^'CMOS FOM coeff. calculation'!$P$3*(1000*E135)^'CMOS FOM coeff. calculation'!$N$3*R135^'CMOS FOM coeff. calculation'!$O$3*N135^'CMOS FOM coeff. calculation'!$M$3))</f>
        <v>18.834579350087527</v>
      </c>
      <c r="Y135" s="68"/>
      <c r="AA135" s="3"/>
    </row>
    <row r="136" spans="1:27">
      <c r="B136" s="8"/>
      <c r="C136" s="39"/>
      <c r="D136" s="7"/>
      <c r="E136" s="40">
        <v>2.1999999999999999E-2</v>
      </c>
      <c r="F136" s="1">
        <v>5.0999999999999996</v>
      </c>
      <c r="G136" s="1">
        <v>25</v>
      </c>
      <c r="H136" s="1">
        <v>-5</v>
      </c>
      <c r="I136" s="1">
        <v>2.38</v>
      </c>
      <c r="L136" s="1">
        <v>23.2</v>
      </c>
      <c r="M136" s="1">
        <v>0.8</v>
      </c>
      <c r="N136" s="1">
        <v>5.5</v>
      </c>
      <c r="O136" s="1">
        <v>0.19</v>
      </c>
      <c r="Q136" s="118">
        <f t="shared" si="28"/>
        <v>0.73332627946352413</v>
      </c>
      <c r="R136" s="119">
        <f t="shared" si="29"/>
        <v>212.66462104442201</v>
      </c>
      <c r="S136" s="118" t="str">
        <f t="shared" si="30"/>
        <v/>
      </c>
      <c r="T136" s="118">
        <f t="shared" si="31"/>
        <v>13.902278982618991</v>
      </c>
      <c r="U136" s="118">
        <f t="shared" si="32"/>
        <v>-11.543711728959204</v>
      </c>
      <c r="V136" s="118" t="e">
        <f t="shared" si="33"/>
        <v>#N/A</v>
      </c>
      <c r="W136" s="118" t="e">
        <f t="shared" si="34"/>
        <v>#N/A</v>
      </c>
      <c r="X136" s="118">
        <f>IF(OR(N136="",R136=""),NA(),10*LOG10((G136+'CMOS FOM coeff. calculation'!$Q$3)^'CMOS FOM coeff. calculation'!$P$3*(1000*E136)^'CMOS FOM coeff. calculation'!$N$3*R136^'CMOS FOM coeff. calculation'!$O$3*N136^'CMOS FOM coeff. calculation'!$M$3))</f>
        <v>18.832697508312432</v>
      </c>
      <c r="Y136" s="68"/>
      <c r="AA136" s="3"/>
    </row>
    <row r="137" spans="1:27">
      <c r="B137" s="8"/>
      <c r="C137" s="39"/>
      <c r="D137" s="7"/>
      <c r="E137" s="40">
        <v>2.1999999999999999E-2</v>
      </c>
      <c r="F137" s="1">
        <v>3.95</v>
      </c>
      <c r="G137" s="1">
        <v>25</v>
      </c>
      <c r="H137" s="1">
        <v>-5</v>
      </c>
      <c r="I137" s="1">
        <v>2.25</v>
      </c>
      <c r="J137" s="1">
        <v>-21</v>
      </c>
      <c r="K137" s="1">
        <v>10.4</v>
      </c>
      <c r="L137" s="1">
        <v>28.5</v>
      </c>
      <c r="M137" s="1">
        <v>1.6</v>
      </c>
      <c r="N137" s="1">
        <v>20</v>
      </c>
      <c r="O137" s="1">
        <v>0.19</v>
      </c>
      <c r="Q137" s="118">
        <f t="shared" si="28"/>
        <v>0.67976421059151193</v>
      </c>
      <c r="R137" s="119">
        <f t="shared" si="29"/>
        <v>197.13162107153846</v>
      </c>
      <c r="S137" s="118">
        <f t="shared" si="30"/>
        <v>5.6154699695562522</v>
      </c>
      <c r="T137" s="118">
        <f t="shared" si="31"/>
        <v>15.441780470347165</v>
      </c>
      <c r="U137" s="118">
        <f t="shared" si="32"/>
        <v>-13.45312348492563</v>
      </c>
      <c r="V137" s="118">
        <f t="shared" si="33"/>
        <v>-16.415135723992091</v>
      </c>
      <c r="W137" s="118">
        <f t="shared" si="34"/>
        <v>-14.426478738570555</v>
      </c>
      <c r="X137" s="118">
        <f>IF(OR(N137="",R137=""),NA(),10*LOG10((G137+'CMOS FOM coeff. calculation'!$Q$3)^'CMOS FOM coeff. calculation'!$P$3*(1000*E137)^'CMOS FOM coeff. calculation'!$N$3*R137^'CMOS FOM coeff. calculation'!$O$3*N137^'CMOS FOM coeff. calculation'!$M$3))</f>
        <v>18.007813475526817</v>
      </c>
      <c r="Y137" s="68"/>
      <c r="AA137" s="3"/>
    </row>
    <row r="138" spans="1:27">
      <c r="A138" s="3" t="s">
        <v>2834</v>
      </c>
      <c r="B138" s="8" t="s">
        <v>2830</v>
      </c>
      <c r="C138" s="39" t="s">
        <v>2853</v>
      </c>
      <c r="D138" s="7" t="s">
        <v>2852</v>
      </c>
      <c r="E138" s="40">
        <v>5.5E-2</v>
      </c>
      <c r="F138" s="1">
        <v>5.5</v>
      </c>
      <c r="G138" s="1">
        <v>9.25</v>
      </c>
      <c r="H138" s="1">
        <v>-14</v>
      </c>
      <c r="I138" s="1">
        <v>3.26</v>
      </c>
      <c r="J138" s="1">
        <v>-5</v>
      </c>
      <c r="K138" s="1">
        <v>-3</v>
      </c>
      <c r="L138" s="1">
        <v>20.7</v>
      </c>
      <c r="M138" s="1">
        <v>1.3</v>
      </c>
      <c r="N138" s="1">
        <v>75</v>
      </c>
      <c r="O138" s="1">
        <v>0.98</v>
      </c>
      <c r="Q138" s="118">
        <f t="shared" si="28"/>
        <v>1.1279616458728594</v>
      </c>
      <c r="R138" s="119">
        <f t="shared" si="29"/>
        <v>327.10887730312925</v>
      </c>
      <c r="S138" s="118">
        <f t="shared" si="30"/>
        <v>36.837295143700409</v>
      </c>
      <c r="T138" s="118">
        <f t="shared" si="31"/>
        <v>17.127366792104596</v>
      </c>
      <c r="U138" s="118">
        <f t="shared" si="32"/>
        <v>-14.659491160457115</v>
      </c>
      <c r="V138" s="118">
        <f t="shared" si="33"/>
        <v>-17.178293298505412</v>
      </c>
      <c r="W138" s="118">
        <f t="shared" si="34"/>
        <v>-14.710417666857932</v>
      </c>
      <c r="X138" s="118">
        <f>IF(OR(N138="",R138=""),NA(),10*LOG10((G138+'CMOS FOM coeff. calculation'!$Q$3)^'CMOS FOM coeff. calculation'!$P$3*(1000*E138)^'CMOS FOM coeff. calculation'!$N$3*R138^'CMOS FOM coeff. calculation'!$O$3*N138^'CMOS FOM coeff. calculation'!$M$3))</f>
        <v>13.203042266523585</v>
      </c>
      <c r="Y138" s="68"/>
      <c r="Z138" s="66" t="s">
        <v>2833</v>
      </c>
      <c r="AA138" s="3"/>
    </row>
    <row r="139" spans="1:27">
      <c r="A139" s="3" t="s">
        <v>2854</v>
      </c>
      <c r="B139" s="8" t="s">
        <v>2855</v>
      </c>
      <c r="C139" s="39" t="s">
        <v>2856</v>
      </c>
      <c r="D139" s="7" t="s">
        <v>2857</v>
      </c>
      <c r="E139" s="40">
        <v>0.13</v>
      </c>
      <c r="F139" s="1">
        <v>6.8</v>
      </c>
      <c r="G139" s="1">
        <v>6.7</v>
      </c>
      <c r="H139" s="1">
        <v>-11.5</v>
      </c>
      <c r="I139" s="1">
        <v>2.08</v>
      </c>
      <c r="K139" s="1">
        <v>2.7</v>
      </c>
      <c r="L139" s="1">
        <v>16.05</v>
      </c>
      <c r="N139" s="1">
        <v>10.199999999999999</v>
      </c>
      <c r="P139" s="1">
        <v>0.88</v>
      </c>
      <c r="Q139" s="118">
        <f t="shared" si="28"/>
        <v>0.63000235383879899</v>
      </c>
      <c r="R139" s="119">
        <f t="shared" si="29"/>
        <v>182.7006826132517</v>
      </c>
      <c r="S139" s="118" t="str">
        <f t="shared" si="30"/>
        <v/>
      </c>
      <c r="T139" s="118">
        <f t="shared" si="31"/>
        <v>7.6623455779517622</v>
      </c>
      <c r="U139" s="118">
        <f t="shared" si="32"/>
        <v>-4.8873158689309744</v>
      </c>
      <c r="V139" s="118" t="e">
        <f t="shared" si="33"/>
        <v>#N/A</v>
      </c>
      <c r="W139" s="118" t="e">
        <f t="shared" si="34"/>
        <v>#N/A</v>
      </c>
      <c r="X139" s="118">
        <f>IF(OR(N139="",R139=""),NA(),10*LOG10((G139+'CMOS FOM coeff. calculation'!$Q$3)^'CMOS FOM coeff. calculation'!$P$3*(1000*E139)^'CMOS FOM coeff. calculation'!$N$3*R139^'CMOS FOM coeff. calculation'!$O$3*N139^'CMOS FOM coeff. calculation'!$M$3))</f>
        <v>18.82766731499666</v>
      </c>
      <c r="Y139" s="68"/>
      <c r="Z139" s="66" t="s">
        <v>2858</v>
      </c>
      <c r="AA139" s="3"/>
    </row>
    <row r="140" spans="1:27">
      <c r="A140" s="3" t="s">
        <v>2910</v>
      </c>
      <c r="B140" s="8" t="s">
        <v>2881</v>
      </c>
      <c r="C140" t="s">
        <v>2883</v>
      </c>
      <c r="D140" t="s">
        <v>2882</v>
      </c>
      <c r="E140" s="40">
        <v>0.04</v>
      </c>
      <c r="F140" s="1">
        <v>10</v>
      </c>
      <c r="G140" s="1">
        <v>6</v>
      </c>
      <c r="H140" s="1">
        <v>-10</v>
      </c>
      <c r="I140" s="1">
        <v>3.5</v>
      </c>
      <c r="J140" s="1">
        <v>-12</v>
      </c>
      <c r="K140" s="1">
        <v>-2.8</v>
      </c>
      <c r="L140" s="1">
        <v>17</v>
      </c>
      <c r="M140" s="1">
        <v>1.2</v>
      </c>
      <c r="N140" s="1">
        <v>9</v>
      </c>
      <c r="O140" s="1">
        <v>6.08E-2</v>
      </c>
      <c r="Q140" s="118">
        <f t="shared" si="28"/>
        <v>1.2639400582340798</v>
      </c>
      <c r="R140" s="119">
        <f t="shared" si="29"/>
        <v>366.54261688788313</v>
      </c>
      <c r="S140" s="118">
        <f t="shared" si="30"/>
        <v>3.0991819257203601</v>
      </c>
      <c r="T140" s="118">
        <f t="shared" si="31"/>
        <v>17.649598260088453</v>
      </c>
      <c r="U140" s="118">
        <f t="shared" si="32"/>
        <v>-14.316264926755119</v>
      </c>
      <c r="V140" s="118">
        <f t="shared" si="33"/>
        <v>-17.126953861931792</v>
      </c>
      <c r="W140" s="118">
        <f t="shared" si="34"/>
        <v>-13.793620528598458</v>
      </c>
      <c r="X140" s="118">
        <f>IF(OR(N140="",R140=""),NA(),10*LOG10((G140+'CMOS FOM coeff. calculation'!$Q$3)^'CMOS FOM coeff. calculation'!$P$3*(1000*E140)^'CMOS FOM coeff. calculation'!$N$3*R140^'CMOS FOM coeff. calculation'!$O$3*N140^'CMOS FOM coeff. calculation'!$M$3))</f>
        <v>12.335842024259909</v>
      </c>
      <c r="Y140" s="68"/>
      <c r="Z140" s="66" t="s">
        <v>2884</v>
      </c>
      <c r="AA140" s="3"/>
    </row>
    <row r="141" spans="1:27">
      <c r="A141" s="3" t="s">
        <v>2910</v>
      </c>
      <c r="B141" s="8" t="s">
        <v>2890</v>
      </c>
      <c r="C141" s="39" t="s">
        <v>2891</v>
      </c>
      <c r="D141" t="s">
        <v>2892</v>
      </c>
      <c r="E141" s="40">
        <v>6.5000000000000002E-2</v>
      </c>
      <c r="F141" s="1">
        <v>11</v>
      </c>
      <c r="G141" s="1">
        <v>152.19999999999999</v>
      </c>
      <c r="H141" s="1">
        <v>-10</v>
      </c>
      <c r="I141" s="1">
        <v>4.7</v>
      </c>
      <c r="J141" s="1">
        <v>-23.8</v>
      </c>
      <c r="L141" s="1">
        <v>17.899999999999999</v>
      </c>
      <c r="M141" s="1">
        <v>0.65</v>
      </c>
      <c r="N141" s="1">
        <v>13.73</v>
      </c>
      <c r="P141" s="1">
        <v>0.193</v>
      </c>
      <c r="Q141" s="118">
        <f t="shared" si="28"/>
        <v>1.9833758159175112</v>
      </c>
      <c r="R141" s="119">
        <f t="shared" si="29"/>
        <v>575.1789866160783</v>
      </c>
      <c r="S141" s="118">
        <f t="shared" si="30"/>
        <v>0.25287088444218286</v>
      </c>
      <c r="T141" s="118">
        <f t="shared" si="31"/>
        <v>8.044676153380836</v>
      </c>
      <c r="U141" s="118">
        <f t="shared" si="32"/>
        <v>-4.5733672028534187</v>
      </c>
      <c r="V141" s="118">
        <f t="shared" si="33"/>
        <v>-17.145008549264304</v>
      </c>
      <c r="W141" s="118">
        <f t="shared" si="34"/>
        <v>-13.673699598736887</v>
      </c>
      <c r="X141" s="118">
        <f>IF(OR(N141="",R141=""),NA(),10*LOG10((G141+'CMOS FOM coeff. calculation'!$Q$3)^'CMOS FOM coeff. calculation'!$P$3*(1000*E141)^'CMOS FOM coeff. calculation'!$N$3*R141^'CMOS FOM coeff. calculation'!$O$3*N141^'CMOS FOM coeff. calculation'!$M$3))</f>
        <v>29.999891759375892</v>
      </c>
      <c r="Y141" s="68"/>
      <c r="Z141" s="66" t="s">
        <v>2893</v>
      </c>
      <c r="AA141" s="3"/>
    </row>
    <row r="142" spans="1:27">
      <c r="A142" s="3" t="s">
        <v>2916</v>
      </c>
      <c r="B142" s="8" t="s">
        <v>2917</v>
      </c>
      <c r="C142" s="39" t="s">
        <v>2918</v>
      </c>
      <c r="D142" t="s">
        <v>2919</v>
      </c>
      <c r="E142" s="40">
        <v>6.5000000000000002E-2</v>
      </c>
      <c r="F142" s="1">
        <v>22.1</v>
      </c>
      <c r="G142" s="1">
        <v>29.05</v>
      </c>
      <c r="H142" s="1">
        <v>-10</v>
      </c>
      <c r="I142" s="1">
        <v>3.1</v>
      </c>
      <c r="J142" s="1">
        <v>-9.89</v>
      </c>
      <c r="K142" s="1">
        <v>-3</v>
      </c>
      <c r="L142" s="1">
        <v>13.5</v>
      </c>
      <c r="M142" s="1">
        <v>1.2</v>
      </c>
      <c r="N142" s="1">
        <v>6.36</v>
      </c>
      <c r="O142" s="1">
        <v>0.13</v>
      </c>
      <c r="P142" s="1">
        <v>0.26</v>
      </c>
      <c r="Q142" s="118">
        <f t="shared" si="28"/>
        <v>1.0904463959904376</v>
      </c>
      <c r="R142" s="119">
        <f t="shared" si="29"/>
        <v>316.22945483722691</v>
      </c>
      <c r="S142" s="118">
        <f t="shared" si="30"/>
        <v>2.1935834554872211</v>
      </c>
      <c r="T142" s="118">
        <f t="shared" si="31"/>
        <v>9.127747933275419</v>
      </c>
      <c r="U142" s="118">
        <f t="shared" si="32"/>
        <v>-4.6464403543250503</v>
      </c>
      <c r="V142" s="118">
        <f t="shared" si="33"/>
        <v>-11.588956090305626</v>
      </c>
      <c r="W142" s="118">
        <f t="shared" si="34"/>
        <v>-7.107648511355257</v>
      </c>
      <c r="X142" s="118">
        <f>IF(OR(N142="",R142=""),NA(),10*LOG10((G142+'CMOS FOM coeff. calculation'!$Q$3)^'CMOS FOM coeff. calculation'!$P$3*(1000*E142)^'CMOS FOM coeff. calculation'!$N$3*R142^'CMOS FOM coeff. calculation'!$O$3*N142^'CMOS FOM coeff. calculation'!$M$3))</f>
        <v>21.303180627054218</v>
      </c>
      <c r="Y142" s="68"/>
      <c r="Z142" s="66" t="s">
        <v>2920</v>
      </c>
      <c r="AA142" s="3"/>
    </row>
    <row r="143" spans="1:27">
      <c r="A143" s="3" t="s">
        <v>2916</v>
      </c>
      <c r="B143" s="8" t="s">
        <v>2931</v>
      </c>
      <c r="C143" s="39" t="s">
        <v>2932</v>
      </c>
      <c r="D143" t="s">
        <v>2933</v>
      </c>
      <c r="E143" s="40">
        <v>6.5000000000000002E-2</v>
      </c>
      <c r="F143" s="1">
        <v>0.3</v>
      </c>
      <c r="G143" s="1">
        <v>0.85</v>
      </c>
      <c r="H143" s="1">
        <v>-10</v>
      </c>
      <c r="I143" s="1">
        <v>10.4</v>
      </c>
      <c r="J143" s="1">
        <v>-7</v>
      </c>
      <c r="K143" s="1">
        <v>10.4</v>
      </c>
      <c r="L143" s="1">
        <v>9.4</v>
      </c>
      <c r="M143" s="1">
        <v>1.2</v>
      </c>
      <c r="N143" s="1">
        <v>28.6</v>
      </c>
      <c r="P143" s="1">
        <v>2</v>
      </c>
      <c r="Q143" s="118">
        <f t="shared" si="28"/>
        <v>11.257292021731786</v>
      </c>
      <c r="R143" s="119">
        <f t="shared" si="29"/>
        <v>3264.6146863022177</v>
      </c>
      <c r="S143" s="118">
        <f t="shared" si="30"/>
        <v>1.5382745972524878</v>
      </c>
      <c r="T143" s="118">
        <f t="shared" si="31"/>
        <v>31.667255171693345</v>
      </c>
      <c r="U143" s="118">
        <f t="shared" si="32"/>
        <v>-33.410184322627806</v>
      </c>
      <c r="V143" s="118">
        <f t="shared" si="33"/>
        <v>-31.70613666247203</v>
      </c>
      <c r="W143" s="118">
        <f t="shared" si="34"/>
        <v>-33.449065813406492</v>
      </c>
      <c r="X143" s="118">
        <f>IF(OR(N143="",R143=""),NA(),10*LOG10((G143+'CMOS FOM coeff. calculation'!$Q$3)^'CMOS FOM coeff. calculation'!$P$3*(1000*E143)^'CMOS FOM coeff. calculation'!$N$3*R143^'CMOS FOM coeff. calculation'!$O$3*N143^'CMOS FOM coeff. calculation'!$M$3))</f>
        <v>1.7039040586116343</v>
      </c>
      <c r="Y143" s="68"/>
      <c r="Z143" s="66" t="s">
        <v>2930</v>
      </c>
      <c r="AA143" s="3"/>
    </row>
    <row r="144" spans="1:27">
      <c r="A144" s="3"/>
      <c r="B144" s="8"/>
      <c r="C144" s="39"/>
      <c r="E144" s="40">
        <v>6.5000000000000002E-2</v>
      </c>
      <c r="F144" s="1">
        <v>0.4</v>
      </c>
      <c r="G144" s="1">
        <v>2</v>
      </c>
      <c r="H144" s="1">
        <v>-10</v>
      </c>
      <c r="I144" s="1">
        <v>12.1</v>
      </c>
      <c r="J144" s="1">
        <v>-4</v>
      </c>
      <c r="K144" s="1">
        <v>12.4</v>
      </c>
      <c r="L144" s="1">
        <v>5.9</v>
      </c>
      <c r="M144" s="1">
        <v>1.2</v>
      </c>
      <c r="N144" s="1">
        <v>28.6</v>
      </c>
      <c r="P144" s="1">
        <v>2</v>
      </c>
      <c r="Q144" s="118">
        <f t="shared" si="28"/>
        <v>20.483057412795503</v>
      </c>
      <c r="R144" s="119">
        <f t="shared" si="29"/>
        <v>5940.0866497106963</v>
      </c>
      <c r="S144" s="118">
        <f t="shared" si="30"/>
        <v>1.1507094483589846</v>
      </c>
      <c r="T144" s="118">
        <f t="shared" si="31"/>
        <v>31.789456540471303</v>
      </c>
      <c r="U144" s="118">
        <f t="shared" si="32"/>
        <v>-33.115923236044765</v>
      </c>
      <c r="V144" s="118">
        <f t="shared" si="33"/>
        <v>-33.487268895069001</v>
      </c>
      <c r="W144" s="118">
        <f t="shared" si="34"/>
        <v>-34.813735590642459</v>
      </c>
      <c r="X144" s="118">
        <f>IF(OR(N144="",R144=""),NA(),10*LOG10((G144+'CMOS FOM coeff. calculation'!$Q$3)^'CMOS FOM coeff. calculation'!$P$3*(1000*E144)^'CMOS FOM coeff. calculation'!$N$3*R144^'CMOS FOM coeff. calculation'!$O$3*N144^'CMOS FOM coeff. calculation'!$M$3))</f>
        <v>3.8266992687136644E-3</v>
      </c>
      <c r="Y144" s="68"/>
      <c r="Z144" s="66"/>
      <c r="AA144" s="3"/>
    </row>
    <row r="145" spans="1:27">
      <c r="A145" s="3" t="s">
        <v>3084</v>
      </c>
      <c r="B145" s="8" t="s">
        <v>3020</v>
      </c>
      <c r="C145" t="s">
        <v>3021</v>
      </c>
      <c r="D145" t="s">
        <v>3022</v>
      </c>
      <c r="E145" s="40">
        <v>6.5000000000000002E-2</v>
      </c>
      <c r="F145" s="1">
        <v>20.100000000000001</v>
      </c>
      <c r="G145" s="1">
        <v>17.25</v>
      </c>
      <c r="H145" s="1">
        <v>-10</v>
      </c>
      <c r="I145" s="1">
        <v>3.3</v>
      </c>
      <c r="J145" s="1">
        <v>-12</v>
      </c>
      <c r="K145" s="1">
        <v>-6</v>
      </c>
      <c r="L145" s="1">
        <v>16.600000000000001</v>
      </c>
      <c r="M145" s="1">
        <v>1.2</v>
      </c>
      <c r="N145" s="1">
        <v>13.2</v>
      </c>
      <c r="O145" s="1">
        <v>0.14000000000000001</v>
      </c>
      <c r="P145" s="1">
        <v>0.31</v>
      </c>
      <c r="Q145" s="118">
        <f t="shared" si="28"/>
        <v>1.1634148327402605</v>
      </c>
      <c r="R145" s="119">
        <f t="shared" si="29"/>
        <v>337.39030149467555</v>
      </c>
      <c r="S145" s="118">
        <f t="shared" si="30"/>
        <v>2.8209357686785879</v>
      </c>
      <c r="T145" s="118">
        <f t="shared" si="31"/>
        <v>11.975153650593626</v>
      </c>
      <c r="U145" s="118">
        <f t="shared" si="32"/>
        <v>-7.6311667925253293</v>
      </c>
      <c r="V145" s="118">
        <f t="shared" si="33"/>
        <v>-14.37476428280036</v>
      </c>
      <c r="W145" s="118">
        <f t="shared" si="34"/>
        <v>-10.030777424732063</v>
      </c>
      <c r="X145" s="118">
        <f>IF(OR(N145="",R145=""),NA(),10*LOG10((G145+'CMOS FOM coeff. calculation'!$Q$3)^'CMOS FOM coeff. calculation'!$P$3*(1000*E145)^'CMOS FOM coeff. calculation'!$N$3*R145^'CMOS FOM coeff. calculation'!$O$3*N145^'CMOS FOM coeff. calculation'!$M$3))</f>
        <v>17.648465280536701</v>
      </c>
      <c r="Y145" s="68"/>
      <c r="Z145" s="66" t="s">
        <v>3023</v>
      </c>
      <c r="AA145" s="3"/>
    </row>
    <row r="146" spans="1:27">
      <c r="A146" s="3" t="s">
        <v>3084</v>
      </c>
      <c r="B146" s="8" t="s">
        <v>3024</v>
      </c>
      <c r="C146" s="39" t="s">
        <v>3025</v>
      </c>
      <c r="D146" t="s">
        <v>3026</v>
      </c>
      <c r="E146" s="40">
        <v>6.5000000000000002E-2</v>
      </c>
      <c r="F146" s="1">
        <v>3.5</v>
      </c>
      <c r="G146" s="1">
        <v>10.95</v>
      </c>
      <c r="H146" s="1">
        <v>-15</v>
      </c>
      <c r="I146" s="1">
        <v>2.2999999999999998</v>
      </c>
      <c r="J146" s="1">
        <v>-28.5</v>
      </c>
      <c r="L146" s="1">
        <v>19.5</v>
      </c>
      <c r="M146" s="1">
        <v>1</v>
      </c>
      <c r="N146" s="1">
        <v>5.9</v>
      </c>
      <c r="P146" s="1">
        <v>0.8</v>
      </c>
      <c r="Q146" s="118">
        <f t="shared" si="28"/>
        <v>0.70616697625349478</v>
      </c>
      <c r="R146" s="119">
        <f t="shared" si="29"/>
        <v>204.78842311351349</v>
      </c>
      <c r="S146" s="118">
        <f t="shared" si="30"/>
        <v>0.12448000363479383</v>
      </c>
      <c r="T146" s="118">
        <f t="shared" si="31"/>
        <v>9.9569751958688837</v>
      </c>
      <c r="U146" s="118">
        <f t="shared" si="32"/>
        <v>-8.1434150480346315</v>
      </c>
      <c r="V146" s="118">
        <f t="shared" si="33"/>
        <v>-15.050574846316223</v>
      </c>
      <c r="W146" s="118">
        <f t="shared" si="34"/>
        <v>-13.237014698481971</v>
      </c>
      <c r="X146" s="118">
        <f>IF(OR(N146="",R146=""),NA(),10*LOG10((G146+'CMOS FOM coeff. calculation'!$Q$3)^'CMOS FOM coeff. calculation'!$P$3*(1000*E146)^'CMOS FOM coeff. calculation'!$N$3*R146^'CMOS FOM coeff. calculation'!$O$3*N146^'CMOS FOM coeff. calculation'!$M$3))</f>
        <v>18.357700643837369</v>
      </c>
      <c r="Y146" s="68"/>
      <c r="Z146" s="66" t="s">
        <v>3027</v>
      </c>
      <c r="AA146" s="3"/>
    </row>
    <row r="147" spans="1:27">
      <c r="A147" s="3" t="s">
        <v>3123</v>
      </c>
      <c r="B147" s="8" t="s">
        <v>3085</v>
      </c>
      <c r="C147" t="s">
        <v>3087</v>
      </c>
      <c r="D147" t="s">
        <v>3088</v>
      </c>
      <c r="E147" s="40">
        <v>6.5000000000000002E-2</v>
      </c>
      <c r="F147" s="1">
        <v>2.58</v>
      </c>
      <c r="G147" s="1">
        <v>1.31</v>
      </c>
      <c r="H147" s="1">
        <v>-9</v>
      </c>
      <c r="I147" s="1">
        <v>1.56</v>
      </c>
      <c r="K147" s="1">
        <v>3.6</v>
      </c>
      <c r="L147" s="1">
        <v>12.8</v>
      </c>
      <c r="M147" s="1">
        <v>0.9</v>
      </c>
      <c r="N147" s="1">
        <v>6</v>
      </c>
      <c r="O147" s="1">
        <v>0.42</v>
      </c>
      <c r="Q147" s="118">
        <f t="shared" si="28"/>
        <v>0.45612571719301043</v>
      </c>
      <c r="R147" s="119">
        <f t="shared" si="29"/>
        <v>132.27645798597302</v>
      </c>
      <c r="S147" s="118" t="str">
        <f t="shared" si="30"/>
        <v/>
      </c>
      <c r="T147" s="118">
        <f t="shared" si="31"/>
        <v>14.230696367399611</v>
      </c>
      <c r="U147" s="118">
        <f t="shared" si="32"/>
        <v>-12.85863068085551</v>
      </c>
      <c r="V147" s="118" t="e">
        <f t="shared" si="33"/>
        <v>#N/A</v>
      </c>
      <c r="W147" s="118" t="e">
        <f t="shared" si="34"/>
        <v>#N/A</v>
      </c>
      <c r="X147" s="118">
        <f>IF(OR(N147="",R147=""),NA(),10*LOG10((G147+'CMOS FOM coeff. calculation'!$Q$3)^'CMOS FOM coeff. calculation'!$P$3*(1000*E147)^'CMOS FOM coeff. calculation'!$N$3*R147^'CMOS FOM coeff. calculation'!$O$3*N147^'CMOS FOM coeff. calculation'!$M$3))</f>
        <v>15.852983937756623</v>
      </c>
      <c r="Y147" s="68"/>
      <c r="Z147" s="66" t="s">
        <v>3090</v>
      </c>
      <c r="AA147" s="3"/>
    </row>
    <row r="148" spans="1:27">
      <c r="A148" s="3" t="s">
        <v>3128</v>
      </c>
      <c r="B148" s="8" t="s">
        <v>3096</v>
      </c>
      <c r="C148" s="39" t="s">
        <v>3097</v>
      </c>
      <c r="D148" t="s">
        <v>3098</v>
      </c>
      <c r="E148" s="40">
        <v>6.5000000000000002E-2</v>
      </c>
      <c r="F148" s="1">
        <v>0.01</v>
      </c>
      <c r="G148" s="1">
        <v>1.48</v>
      </c>
      <c r="I148" s="1">
        <v>5.2</v>
      </c>
      <c r="K148" s="1">
        <v>5.9</v>
      </c>
      <c r="L148" s="1">
        <v>16.8</v>
      </c>
      <c r="M148" s="1">
        <v>1</v>
      </c>
      <c r="N148" s="1">
        <v>20</v>
      </c>
      <c r="O148" s="1">
        <v>1.1599999999999999</v>
      </c>
      <c r="Q148" s="118">
        <f t="shared" si="28"/>
        <v>2.3606318037656981</v>
      </c>
      <c r="R148" s="119">
        <f t="shared" si="29"/>
        <v>684.58322309205244</v>
      </c>
      <c r="S148" s="118" t="str">
        <f t="shared" si="30"/>
        <v/>
      </c>
      <c r="T148" s="118">
        <f t="shared" si="31"/>
        <v>22.759792999891417</v>
      </c>
      <c r="U148" s="118">
        <f t="shared" si="32"/>
        <v>-29.426459666558081</v>
      </c>
      <c r="V148" s="118" t="e">
        <f t="shared" si="33"/>
        <v>#N/A</v>
      </c>
      <c r="W148" s="118" t="e">
        <f t="shared" si="34"/>
        <v>#N/A</v>
      </c>
      <c r="X148" s="118">
        <f>IF(OR(N148="",R148=""),NA(),10*LOG10((G148+'CMOS FOM coeff. calculation'!$Q$3)^'CMOS FOM coeff. calculation'!$P$3*(1000*E148)^'CMOS FOM coeff. calculation'!$N$3*R148^'CMOS FOM coeff. calculation'!$O$3*N148^'CMOS FOM coeff. calculation'!$M$3))</f>
        <v>8.476418406055469</v>
      </c>
      <c r="Y148" s="68"/>
      <c r="Z148" s="66" t="s">
        <v>3099</v>
      </c>
      <c r="AA148" s="3"/>
    </row>
    <row r="149" spans="1:27">
      <c r="A149" s="3"/>
      <c r="B149" s="8"/>
      <c r="C149" s="39"/>
      <c r="E149" s="40">
        <v>6.5000000000000002E-2</v>
      </c>
      <c r="F149" s="1">
        <v>0.01</v>
      </c>
      <c r="G149" s="1">
        <v>1.5249999999999999</v>
      </c>
      <c r="I149" s="1">
        <v>5.0999999999999996</v>
      </c>
      <c r="K149" s="1">
        <v>6</v>
      </c>
      <c r="L149" s="1">
        <v>17</v>
      </c>
      <c r="M149" s="1">
        <v>1</v>
      </c>
      <c r="N149" s="1">
        <v>20</v>
      </c>
      <c r="O149" s="1">
        <v>1.1599999999999999</v>
      </c>
      <c r="Q149" s="118">
        <f t="shared" si="28"/>
        <v>2.2814576336933476</v>
      </c>
      <c r="R149" s="119">
        <f t="shared" si="29"/>
        <v>661.62271377107083</v>
      </c>
      <c r="S149" s="118" t="str">
        <f t="shared" si="30"/>
        <v/>
      </c>
      <c r="T149" s="118">
        <f t="shared" si="31"/>
        <v>22.524913689795149</v>
      </c>
      <c r="U149" s="118">
        <f t="shared" si="32"/>
        <v>-29.191580356461813</v>
      </c>
      <c r="V149" s="118" t="e">
        <f t="shared" si="33"/>
        <v>#N/A</v>
      </c>
      <c r="W149" s="118" t="e">
        <f t="shared" si="34"/>
        <v>#N/A</v>
      </c>
      <c r="X149" s="118">
        <f>IF(OR(N149="",R149=""),NA(),10*LOG10((G149+'CMOS FOM coeff. calculation'!$Q$3)^'CMOS FOM coeff. calculation'!$P$3*(1000*E149)^'CMOS FOM coeff. calculation'!$N$3*R149^'CMOS FOM coeff. calculation'!$O$3*N149^'CMOS FOM coeff. calculation'!$M$3))</f>
        <v>8.6346529307927646</v>
      </c>
      <c r="Y149" s="68"/>
      <c r="Z149" s="66"/>
      <c r="AA149" s="3"/>
    </row>
    <row r="150" spans="1:27">
      <c r="A150" s="3"/>
      <c r="B150" s="8"/>
      <c r="C150" s="39"/>
      <c r="E150" s="40">
        <v>6.5000000000000002E-2</v>
      </c>
      <c r="F150" s="1">
        <v>0.02</v>
      </c>
      <c r="G150" s="1">
        <v>1.8049999999999999</v>
      </c>
      <c r="I150" s="1">
        <v>5.35</v>
      </c>
      <c r="K150" s="1">
        <v>4.8</v>
      </c>
      <c r="L150" s="1">
        <v>17.8</v>
      </c>
      <c r="M150" s="1">
        <v>1</v>
      </c>
      <c r="N150" s="1">
        <v>20</v>
      </c>
      <c r="O150" s="1">
        <v>1.1599999999999999</v>
      </c>
      <c r="Q150" s="118">
        <f t="shared" si="28"/>
        <v>2.4686472113753104</v>
      </c>
      <c r="R150" s="119">
        <f t="shared" si="29"/>
        <v>715.90769129884006</v>
      </c>
      <c r="S150" s="118" t="str">
        <f t="shared" si="30"/>
        <v/>
      </c>
      <c r="T150" s="118">
        <f t="shared" si="31"/>
        <v>22.379330825561436</v>
      </c>
      <c r="U150" s="118">
        <f t="shared" si="32"/>
        <v>-28.042564173348165</v>
      </c>
      <c r="V150" s="118" t="e">
        <f t="shared" si="33"/>
        <v>#N/A</v>
      </c>
      <c r="W150" s="118" t="e">
        <f t="shared" si="34"/>
        <v>#N/A</v>
      </c>
      <c r="X150" s="118">
        <f>IF(OR(N150="",R150=""),NA(),10*LOG10((G150+'CMOS FOM coeff. calculation'!$Q$3)^'CMOS FOM coeff. calculation'!$P$3*(1000*E150)^'CMOS FOM coeff. calculation'!$N$3*R150^'CMOS FOM coeff. calculation'!$O$3*N150^'CMOS FOM coeff. calculation'!$M$3))</f>
        <v>8.4797338205067678</v>
      </c>
      <c r="Y150" s="68"/>
      <c r="Z150" s="66"/>
      <c r="AA150" s="3"/>
    </row>
    <row r="151" spans="1:27">
      <c r="A151" s="3"/>
      <c r="B151" s="8"/>
      <c r="C151" s="39"/>
      <c r="E151" s="40">
        <v>6.5000000000000002E-2</v>
      </c>
      <c r="F151" s="1">
        <v>0.02</v>
      </c>
      <c r="G151" s="1">
        <v>1.93</v>
      </c>
      <c r="I151" s="1">
        <v>5.38</v>
      </c>
      <c r="K151" s="1">
        <v>5.6</v>
      </c>
      <c r="L151" s="1">
        <v>18.2</v>
      </c>
      <c r="M151" s="1">
        <v>1</v>
      </c>
      <c r="N151" s="1">
        <v>20</v>
      </c>
      <c r="O151" s="1">
        <v>1.1599999999999999</v>
      </c>
      <c r="Q151" s="118">
        <f t="shared" si="28"/>
        <v>2.4891116223040792</v>
      </c>
      <c r="R151" s="119">
        <f t="shared" si="29"/>
        <v>721.84237046818293</v>
      </c>
      <c r="S151" s="118" t="str">
        <f t="shared" si="30"/>
        <v/>
      </c>
      <c r="T151" s="118">
        <f t="shared" si="31"/>
        <v>22.221316896743385</v>
      </c>
      <c r="U151" s="118">
        <f t="shared" si="32"/>
        <v>-27.884550244530114</v>
      </c>
      <c r="V151" s="118" t="e">
        <f t="shared" si="33"/>
        <v>#N/A</v>
      </c>
      <c r="W151" s="118" t="e">
        <f t="shared" si="34"/>
        <v>#N/A</v>
      </c>
      <c r="X151" s="118">
        <f>IF(OR(N151="",R151=""),NA(),10*LOG10((G151+'CMOS FOM coeff. calculation'!$Q$3)^'CMOS FOM coeff. calculation'!$P$3*(1000*E151)^'CMOS FOM coeff. calculation'!$N$3*R151^'CMOS FOM coeff. calculation'!$O$3*N151^'CMOS FOM coeff. calculation'!$M$3))</f>
        <v>8.5150395180226397</v>
      </c>
      <c r="Y151" s="68"/>
      <c r="Z151" s="66"/>
      <c r="AA151" s="3"/>
    </row>
    <row r="152" spans="1:27">
      <c r="A152" s="3"/>
      <c r="B152" s="8"/>
      <c r="C152" s="39"/>
      <c r="E152" s="40">
        <v>6.5000000000000002E-2</v>
      </c>
      <c r="F152" s="1">
        <v>0.01</v>
      </c>
      <c r="G152" s="1">
        <v>2.35</v>
      </c>
      <c r="I152" s="1">
        <v>5.48</v>
      </c>
      <c r="K152" s="1">
        <v>7.2</v>
      </c>
      <c r="L152" s="1">
        <v>19.3</v>
      </c>
      <c r="M152" s="1">
        <v>1</v>
      </c>
      <c r="N152" s="1">
        <v>20</v>
      </c>
      <c r="O152" s="1">
        <v>1.1599999999999999</v>
      </c>
      <c r="Q152" s="118">
        <f t="shared" si="28"/>
        <v>2.5619317716640708</v>
      </c>
      <c r="R152" s="119">
        <f t="shared" si="29"/>
        <v>742.96021378258058</v>
      </c>
      <c r="S152" s="118" t="str">
        <f t="shared" si="30"/>
        <v/>
      </c>
      <c r="T152" s="118">
        <f t="shared" si="31"/>
        <v>21.776478411231707</v>
      </c>
      <c r="U152" s="118">
        <f t="shared" si="32"/>
        <v>-28.443145077898372</v>
      </c>
      <c r="V152" s="118" t="e">
        <f t="shared" si="33"/>
        <v>#N/A</v>
      </c>
      <c r="W152" s="118" t="e">
        <f t="shared" si="34"/>
        <v>#N/A</v>
      </c>
      <c r="X152" s="118">
        <f>IF(OR(N152="",R152=""),NA(),10*LOG10((G152+'CMOS FOM coeff. calculation'!$Q$3)^'CMOS FOM coeff. calculation'!$P$3*(1000*E152)^'CMOS FOM coeff. calculation'!$N$3*R152^'CMOS FOM coeff. calculation'!$O$3*N152^'CMOS FOM coeff. calculation'!$M$3))</f>
        <v>8.6256034498548946</v>
      </c>
      <c r="Y152" s="68"/>
      <c r="Z152" s="66"/>
      <c r="AA152" s="3"/>
    </row>
    <row r="153" spans="1:27">
      <c r="A153" s="3" t="s">
        <v>3113</v>
      </c>
      <c r="B153" s="8" t="s">
        <v>3114</v>
      </c>
      <c r="C153" s="39" t="s">
        <v>3115</v>
      </c>
      <c r="D153" t="s">
        <v>3116</v>
      </c>
      <c r="E153" s="40">
        <v>6.5000000000000002E-2</v>
      </c>
      <c r="F153" s="1">
        <v>3.4</v>
      </c>
      <c r="G153" s="1">
        <v>1.8</v>
      </c>
      <c r="H153" s="1">
        <v>-10</v>
      </c>
      <c r="I153" s="1">
        <v>2.1</v>
      </c>
      <c r="K153" s="1">
        <v>9.4</v>
      </c>
      <c r="L153" s="1">
        <v>17</v>
      </c>
      <c r="M153" s="1">
        <v>1</v>
      </c>
      <c r="N153" s="1">
        <v>6.6</v>
      </c>
      <c r="O153" s="1">
        <v>6.2E-2</v>
      </c>
      <c r="Q153" s="118">
        <f t="shared" si="28"/>
        <v>0.63446942673048268</v>
      </c>
      <c r="R153" s="119">
        <f t="shared" si="29"/>
        <v>183.99613375183998</v>
      </c>
      <c r="S153" s="118" t="str">
        <f t="shared" si="30"/>
        <v/>
      </c>
      <c r="T153" s="118">
        <f t="shared" si="31"/>
        <v>14.881925324455402</v>
      </c>
      <c r="U153" s="118">
        <f t="shared" si="32"/>
        <v>-13.110328934314552</v>
      </c>
      <c r="V153" s="118" t="e">
        <f t="shared" si="33"/>
        <v>#N/A</v>
      </c>
      <c r="W153" s="118" t="e">
        <f t="shared" si="34"/>
        <v>#N/A</v>
      </c>
      <c r="X153" s="118">
        <f>IF(OR(N153="",R153=""),NA(),10*LOG10((G153+'CMOS FOM coeff. calculation'!$Q$3)^'CMOS FOM coeff. calculation'!$P$3*(1000*E153)^'CMOS FOM coeff. calculation'!$N$3*R153^'CMOS FOM coeff. calculation'!$O$3*N153^'CMOS FOM coeff. calculation'!$M$3))</f>
        <v>14.750427001725781</v>
      </c>
      <c r="Y153" s="68"/>
      <c r="Z153" s="66" t="s">
        <v>3122</v>
      </c>
      <c r="AA153" s="3"/>
    </row>
    <row r="154" spans="1:27">
      <c r="A154" s="3" t="s">
        <v>3118</v>
      </c>
      <c r="B154" s="8" t="s">
        <v>3119</v>
      </c>
      <c r="C154" t="s">
        <v>3120</v>
      </c>
      <c r="D154" t="s">
        <v>3121</v>
      </c>
      <c r="E154" s="40">
        <v>6.5000000000000002E-2</v>
      </c>
      <c r="F154" s="1">
        <v>0.5</v>
      </c>
      <c r="G154" s="1">
        <v>4</v>
      </c>
      <c r="H154" s="1">
        <v>-10</v>
      </c>
      <c r="I154" s="1">
        <v>4.8</v>
      </c>
      <c r="J154" s="1">
        <v>-42</v>
      </c>
      <c r="K154" s="1">
        <v>-35</v>
      </c>
      <c r="L154" s="1">
        <v>21</v>
      </c>
      <c r="Q154" s="118">
        <f t="shared" si="28"/>
        <v>2.0361252380622923</v>
      </c>
      <c r="R154" s="119">
        <f t="shared" si="29"/>
        <v>590.47631903806473</v>
      </c>
      <c r="S154" s="118">
        <f t="shared" si="30"/>
        <v>7.8801866127947932E-3</v>
      </c>
      <c r="T154" s="118" t="e">
        <f t="shared" si="31"/>
        <v>#N/A</v>
      </c>
      <c r="U154" s="118" t="e">
        <f t="shared" si="32"/>
        <v>#N/A</v>
      </c>
      <c r="V154" s="118" t="e">
        <f t="shared" si="33"/>
        <v>#N/A</v>
      </c>
      <c r="W154" s="118" t="e">
        <f t="shared" si="34"/>
        <v>#N/A</v>
      </c>
      <c r="X154" s="118" t="e">
        <f>IF(OR(N154="",R154=""),NA(),10*LOG10((G154+'CMOS FOM coeff. calculation'!$Q$3)^'CMOS FOM coeff. calculation'!$P$3*(1000*E154)^'CMOS FOM coeff. calculation'!$N$3*R154^'CMOS FOM coeff. calculation'!$O$3*N154^'CMOS FOM coeff. calculation'!$M$3))</f>
        <v>#N/A</v>
      </c>
      <c r="Y154" s="68"/>
      <c r="Z154" s="66" t="s">
        <v>3117</v>
      </c>
      <c r="AA154" s="3"/>
    </row>
    <row r="155" spans="1:27">
      <c r="A155" s="3" t="s">
        <v>3104</v>
      </c>
      <c r="B155" s="8" t="s">
        <v>3124</v>
      </c>
      <c r="C155" s="39" t="s">
        <v>3125</v>
      </c>
      <c r="D155" t="s">
        <v>3126</v>
      </c>
      <c r="E155" s="40">
        <v>6.5000000000000002E-2</v>
      </c>
      <c r="F155" s="1">
        <v>15</v>
      </c>
      <c r="G155" s="1">
        <v>60</v>
      </c>
      <c r="H155" s="1">
        <v>-10</v>
      </c>
      <c r="I155" s="1">
        <v>2.5</v>
      </c>
      <c r="L155" s="1">
        <v>4</v>
      </c>
      <c r="M155" s="1">
        <v>1</v>
      </c>
      <c r="N155" s="1">
        <v>7</v>
      </c>
      <c r="O155" s="1">
        <v>0.7</v>
      </c>
      <c r="Q155" s="118">
        <f t="shared" si="28"/>
        <v>1.2930531349818941</v>
      </c>
      <c r="R155" s="119">
        <f t="shared" si="29"/>
        <v>374.98540914474927</v>
      </c>
      <c r="S155" s="118" t="str">
        <f t="shared" si="30"/>
        <v/>
      </c>
      <c r="T155" s="118">
        <f t="shared" si="31"/>
        <v>7.9066374245073838</v>
      </c>
      <c r="U155" s="118">
        <f t="shared" si="32"/>
        <v>-3.9863332276551127</v>
      </c>
      <c r="V155" s="118" t="e">
        <f t="shared" si="33"/>
        <v>#N/A</v>
      </c>
      <c r="W155" s="118" t="e">
        <f t="shared" si="34"/>
        <v>#N/A</v>
      </c>
      <c r="X155" s="118">
        <f>IF(OR(N155="",R155=""),NA(),10*LOG10((G155+'CMOS FOM coeff. calculation'!$Q$3)^'CMOS FOM coeff. calculation'!$P$3*(1000*E155)^'CMOS FOM coeff. calculation'!$N$3*R155^'CMOS FOM coeff. calculation'!$O$3*N155^'CMOS FOM coeff. calculation'!$M$3))</f>
        <v>25.242146196931404</v>
      </c>
      <c r="Y155" s="68"/>
      <c r="Z155" s="66" t="s">
        <v>3127</v>
      </c>
      <c r="AA155" s="3"/>
    </row>
    <row r="156" spans="1:27">
      <c r="A156" s="3" t="s">
        <v>3128</v>
      </c>
      <c r="B156" s="8" t="s">
        <v>3130</v>
      </c>
      <c r="C156" s="39" t="s">
        <v>3129</v>
      </c>
      <c r="D156" t="s">
        <v>3131</v>
      </c>
      <c r="E156" s="40">
        <v>6.5000000000000002E-2</v>
      </c>
      <c r="F156" s="1">
        <v>1.5</v>
      </c>
      <c r="G156" s="1">
        <v>1.45</v>
      </c>
      <c r="I156" s="1">
        <v>2.9</v>
      </c>
      <c r="K156" s="1">
        <v>19.100000000000001</v>
      </c>
      <c r="L156" s="1">
        <v>26.8</v>
      </c>
      <c r="M156" s="1">
        <v>1</v>
      </c>
      <c r="N156" s="1">
        <v>10.8</v>
      </c>
      <c r="P156" s="1">
        <v>2.2400000000000002</v>
      </c>
      <c r="Q156" s="118">
        <f t="shared" si="28"/>
        <v>0.95183326130811463</v>
      </c>
      <c r="R156" s="119">
        <f t="shared" si="29"/>
        <v>276.03164577935325</v>
      </c>
      <c r="S156" s="118" t="str">
        <f t="shared" si="30"/>
        <v/>
      </c>
      <c r="T156" s="118">
        <f t="shared" si="31"/>
        <v>17.982389850665935</v>
      </c>
      <c r="U156" s="118">
        <f t="shared" si="32"/>
        <v>-17.395418987146996</v>
      </c>
      <c r="V156" s="118" t="e">
        <f t="shared" si="33"/>
        <v>#N/A</v>
      </c>
      <c r="W156" s="118" t="e">
        <f t="shared" si="34"/>
        <v>#N/A</v>
      </c>
      <c r="X156" s="118">
        <f>IF(OR(N156="",R156=""),NA(),10*LOG10((G156+'CMOS FOM coeff. calculation'!$Q$3)^'CMOS FOM coeff. calculation'!$P$3*(1000*E156)^'CMOS FOM coeff. calculation'!$N$3*R156^'CMOS FOM coeff. calculation'!$O$3*N156^'CMOS FOM coeff. calculation'!$M$3))</f>
        <v>12.545202949822219</v>
      </c>
      <c r="Y156" s="68"/>
      <c r="Z156" s="66" t="s">
        <v>3132</v>
      </c>
      <c r="AA156" s="3"/>
    </row>
    <row r="157" spans="1:27">
      <c r="A157" t="s">
        <v>3305</v>
      </c>
      <c r="B157" s="8" t="s">
        <v>3144</v>
      </c>
      <c r="C157" s="39" t="s">
        <v>3145</v>
      </c>
      <c r="D157" t="s">
        <v>3146</v>
      </c>
      <c r="E157" s="21">
        <v>2.1999999999999999E-2</v>
      </c>
      <c r="F157" s="1">
        <v>6.6</v>
      </c>
      <c r="G157" s="1">
        <v>27</v>
      </c>
      <c r="H157" s="1">
        <v>-10</v>
      </c>
      <c r="I157" s="1">
        <v>2.5499999999999998</v>
      </c>
      <c r="J157" s="1">
        <v>-39.200000000000003</v>
      </c>
      <c r="K157" s="1">
        <v>-30.6</v>
      </c>
      <c r="L157" s="1">
        <v>22</v>
      </c>
      <c r="M157" s="1">
        <v>0.8</v>
      </c>
      <c r="N157" s="1">
        <v>18</v>
      </c>
      <c r="Q157" s="118">
        <f t="shared" si="28"/>
        <v>0.80394345540614098</v>
      </c>
      <c r="R157" s="119">
        <f t="shared" si="29"/>
        <v>233.14360206778088</v>
      </c>
      <c r="S157" s="118">
        <f t="shared" si="30"/>
        <v>1.8934380736170722E-2</v>
      </c>
      <c r="T157" s="118">
        <f t="shared" si="31"/>
        <v>15.795102553011786</v>
      </c>
      <c r="U157" s="118">
        <f t="shared" si="32"/>
        <v>-13.063289434538891</v>
      </c>
      <c r="V157" s="118">
        <f t="shared" si="33"/>
        <v>-24.96779536747292</v>
      </c>
      <c r="W157" s="118">
        <f t="shared" si="34"/>
        <v>-22.235982249000024</v>
      </c>
      <c r="X157" s="118">
        <f>IF(OR(N157="",R157=""),NA(),10*LOG10((G157+'CMOS FOM coeff. calculation'!$Q$3)^'CMOS FOM coeff. calculation'!$P$3*(1000*E157)^'CMOS FOM coeff. calculation'!$N$3*R157^'CMOS FOM coeff. calculation'!$O$3*N157^'CMOS FOM coeff. calculation'!$M$3))</f>
        <v>17.875746557899831</v>
      </c>
      <c r="Z157" s="4" t="s">
        <v>3142</v>
      </c>
      <c r="AA157" s="3" t="s">
        <v>3141</v>
      </c>
    </row>
    <row r="158" spans="1:27">
      <c r="A158" t="s">
        <v>3395</v>
      </c>
      <c r="B158" s="8" t="s">
        <v>3396</v>
      </c>
      <c r="C158" s="39" t="s">
        <v>3397</v>
      </c>
      <c r="D158" t="s">
        <v>3398</v>
      </c>
      <c r="E158" s="21">
        <v>2.1999999999999999E-2</v>
      </c>
      <c r="F158" s="1">
        <v>10.8</v>
      </c>
      <c r="G158" s="1">
        <v>153.5</v>
      </c>
      <c r="H158" s="1">
        <v>-10</v>
      </c>
      <c r="I158" s="1">
        <v>7.9</v>
      </c>
      <c r="J158" s="1">
        <v>-8.8000000000000007</v>
      </c>
      <c r="L158" s="1">
        <v>18</v>
      </c>
      <c r="N158" s="1">
        <v>17.5</v>
      </c>
      <c r="O158" s="1">
        <v>0.09</v>
      </c>
      <c r="Q158" s="118">
        <f t="shared" si="28"/>
        <v>5.2491433339775595</v>
      </c>
      <c r="R158" s="119">
        <f t="shared" si="29"/>
        <v>1522.2515668534922</v>
      </c>
      <c r="S158" s="118">
        <f t="shared" si="30"/>
        <v>8.1858120371710701</v>
      </c>
      <c r="T158" s="118">
        <f t="shared" si="31"/>
        <v>18.871319537708182</v>
      </c>
      <c r="U158" s="118">
        <f t="shared" si="32"/>
        <v>-15.426573686085016</v>
      </c>
      <c r="V158" s="118">
        <f t="shared" ref="V158:V172" si="35">IF(OR(ISNA(T158),S158=""),NA(),10*LOG10(S158^(1/3)*E158*G158^(1/3)/Q158/N158^(2/3)))</f>
        <v>-21.733010674972029</v>
      </c>
      <c r="W158" s="118">
        <f t="shared" ref="W158:W172" si="36">IF(OR(ISNA(V158),F158=""),NA(),V158+10*LOG10(F158^(1/3)))</f>
        <v>-18.288264823348864</v>
      </c>
      <c r="X158" s="118">
        <f>IF(OR(N158="",R158=""),NA(),10*LOG10((G158+'CMOS FOM coeff. calculation'!$Q$3)^'CMOS FOM coeff. calculation'!$P$3*(1000*E158)^'CMOS FOM coeff. calculation'!$N$3*R158^'CMOS FOM coeff. calculation'!$O$3*N158^'CMOS FOM coeff. calculation'!$M$3))</f>
        <v>22.75916605278978</v>
      </c>
      <c r="Z158" s="4" t="s">
        <v>3399</v>
      </c>
      <c r="AA158" s="3"/>
    </row>
    <row r="159" spans="1:27" ht="18">
      <c r="A159" t="s">
        <v>3400</v>
      </c>
      <c r="B159" s="8" t="s">
        <v>3401</v>
      </c>
      <c r="C159" s="39" t="s">
        <v>3402</v>
      </c>
      <c r="D159" t="s">
        <v>3403</v>
      </c>
      <c r="E159" s="21">
        <v>0.04</v>
      </c>
      <c r="F159" s="1">
        <v>11.8</v>
      </c>
      <c r="G159" s="1">
        <v>27.8</v>
      </c>
      <c r="H159" s="1">
        <v>-9</v>
      </c>
      <c r="I159" s="1">
        <v>2.8</v>
      </c>
      <c r="J159" s="1">
        <v>-7.7</v>
      </c>
      <c r="K159" s="1">
        <v>2</v>
      </c>
      <c r="L159" s="1">
        <v>12.3</v>
      </c>
      <c r="M159" s="1">
        <v>0.6</v>
      </c>
      <c r="N159" s="1">
        <v>8.5</v>
      </c>
      <c r="O159" s="1">
        <v>0.25700000000000001</v>
      </c>
      <c r="Q159" s="118">
        <f t="shared" si="28"/>
        <v>0.96211420234083778</v>
      </c>
      <c r="R159" s="119">
        <f t="shared" si="29"/>
        <v>279.01311867884294</v>
      </c>
      <c r="S159" s="118">
        <f t="shared" si="30"/>
        <v>2.714207137880432</v>
      </c>
      <c r="T159" s="118">
        <f t="shared" si="31"/>
        <v>11.942564150970584</v>
      </c>
      <c r="U159" s="118">
        <f t="shared" si="32"/>
        <v>-8.3696241266168343</v>
      </c>
      <c r="V159" s="118">
        <f t="shared" si="35"/>
        <v>-13.748833233245271</v>
      </c>
      <c r="W159" s="118">
        <f t="shared" si="36"/>
        <v>-10.175893208891519</v>
      </c>
      <c r="X159" s="118">
        <f>IF(OR(N159="",R159=""),NA(),10*LOG10((G159+'CMOS FOM coeff. calculation'!$Q$3)^'CMOS FOM coeff. calculation'!$P$3*(1000*E159)^'CMOS FOM coeff. calculation'!$N$3*R159^'CMOS FOM coeff. calculation'!$O$3*N159^'CMOS FOM coeff. calculation'!$M$3))</f>
        <v>19.809946284559896</v>
      </c>
      <c r="Z159" s="4" t="s">
        <v>3404</v>
      </c>
      <c r="AA159" s="3"/>
    </row>
    <row r="160" spans="1:27">
      <c r="A160" t="s">
        <v>3579</v>
      </c>
      <c r="B160" s="8" t="s">
        <v>3409</v>
      </c>
      <c r="C160" t="s">
        <v>3410</v>
      </c>
      <c r="D160" t="s">
        <v>3411</v>
      </c>
      <c r="E160" s="1">
        <v>0.04</v>
      </c>
      <c r="F160" s="1">
        <v>24</v>
      </c>
      <c r="G160" s="1">
        <v>153</v>
      </c>
      <c r="H160" s="1">
        <v>-10</v>
      </c>
      <c r="I160" s="1">
        <v>4.9000000000000004</v>
      </c>
      <c r="L160" s="1">
        <v>16.3</v>
      </c>
      <c r="M160" s="1">
        <v>0.52</v>
      </c>
      <c r="N160" s="1">
        <v>16.100000000000001</v>
      </c>
      <c r="O160" s="1">
        <v>0.28999999999999998</v>
      </c>
      <c r="Q160" s="118">
        <f t="shared" si="28"/>
        <v>2.1404730177805504</v>
      </c>
      <c r="R160" s="119">
        <f t="shared" si="29"/>
        <v>620.73717515635963</v>
      </c>
      <c r="S160" s="118" t="str">
        <f t="shared" si="30"/>
        <v/>
      </c>
      <c r="T160" s="118">
        <f t="shared" si="31"/>
        <v>11.402441073019009</v>
      </c>
      <c r="U160" s="118">
        <f t="shared" si="32"/>
        <v>-6.8017369339803224</v>
      </c>
      <c r="V160" s="118" t="e">
        <f t="shared" si="35"/>
        <v>#N/A</v>
      </c>
      <c r="W160" s="118" t="e">
        <f t="shared" si="36"/>
        <v>#N/A</v>
      </c>
      <c r="X160" s="118">
        <f>IF(OR(N160="",R160=""),NA(),10*LOG10((G160+'CMOS FOM coeff. calculation'!$Q$3)^'CMOS FOM coeff. calculation'!$P$3*(1000*E160)^'CMOS FOM coeff. calculation'!$N$3*R160^'CMOS FOM coeff. calculation'!$O$3*N160^'CMOS FOM coeff. calculation'!$M$3))</f>
        <v>28.129323849738679</v>
      </c>
      <c r="Z160" s="4" t="s">
        <v>3412</v>
      </c>
      <c r="AA160" s="3"/>
    </row>
    <row r="161" spans="1:27">
      <c r="A161" t="s">
        <v>3579</v>
      </c>
      <c r="B161" s="8" t="s">
        <v>3413</v>
      </c>
      <c r="C161" s="39" t="s">
        <v>3415</v>
      </c>
      <c r="D161" t="s">
        <v>3414</v>
      </c>
      <c r="E161" s="21">
        <v>6.5000000000000002E-2</v>
      </c>
      <c r="F161" s="1">
        <v>6</v>
      </c>
      <c r="G161" s="1">
        <v>39</v>
      </c>
      <c r="H161" s="1">
        <v>-10</v>
      </c>
      <c r="I161" s="1">
        <v>2.2000000000000002</v>
      </c>
      <c r="K161" s="1">
        <v>-7.8</v>
      </c>
      <c r="L161" s="1">
        <v>21.5</v>
      </c>
      <c r="M161" s="1">
        <v>1</v>
      </c>
      <c r="N161" s="1">
        <v>22</v>
      </c>
      <c r="O161" s="1">
        <v>0.16</v>
      </c>
      <c r="Q161" s="118">
        <f t="shared" si="28"/>
        <v>0.6642897184957488</v>
      </c>
      <c r="R161" s="119">
        <f t="shared" si="29"/>
        <v>192.64401836376715</v>
      </c>
      <c r="S161" s="118" t="str">
        <f t="shared" si="30"/>
        <v/>
      </c>
      <c r="T161" s="118">
        <f t="shared" si="31"/>
        <v>7.9190421079271562</v>
      </c>
      <c r="U161" s="118">
        <f t="shared" si="32"/>
        <v>-5.3252046066483434</v>
      </c>
      <c r="V161" s="118" t="e">
        <f t="shared" si="35"/>
        <v>#N/A</v>
      </c>
      <c r="W161" s="118" t="e">
        <f t="shared" si="36"/>
        <v>#N/A</v>
      </c>
      <c r="X161" s="118">
        <f>IF(OR(N161="",R161=""),NA(),10*LOG10((G161+'CMOS FOM coeff. calculation'!$Q$3)^'CMOS FOM coeff. calculation'!$P$3*(1000*E161)^'CMOS FOM coeff. calculation'!$N$3*R161^'CMOS FOM coeff. calculation'!$O$3*N161^'CMOS FOM coeff. calculation'!$M$3))</f>
        <v>23.960981023124855</v>
      </c>
      <c r="Z161" s="4" t="s">
        <v>3416</v>
      </c>
      <c r="AA161" s="3"/>
    </row>
    <row r="162" spans="1:27">
      <c r="A162" t="s">
        <v>3579</v>
      </c>
      <c r="B162" s="8" t="s">
        <v>3417</v>
      </c>
      <c r="C162" s="39" t="s">
        <v>3418</v>
      </c>
      <c r="D162" t="s">
        <v>3419</v>
      </c>
      <c r="E162" s="21">
        <v>6.5000000000000002E-2</v>
      </c>
      <c r="F162" s="1">
        <v>20</v>
      </c>
      <c r="G162" s="1">
        <v>10.1</v>
      </c>
      <c r="H162" s="1">
        <v>-10</v>
      </c>
      <c r="I162" s="1">
        <v>3.07</v>
      </c>
      <c r="J162" s="1">
        <v>-9</v>
      </c>
      <c r="K162" s="1">
        <v>2.5299999999999998</v>
      </c>
      <c r="L162" s="1">
        <v>14.4</v>
      </c>
      <c r="M162" s="1">
        <v>1.2</v>
      </c>
      <c r="N162" s="1">
        <v>13.2</v>
      </c>
      <c r="O162" s="1">
        <v>0.26300000000000001</v>
      </c>
      <c r="Q162" s="118">
        <f t="shared" si="28"/>
        <v>1.0664014146446068</v>
      </c>
      <c r="R162" s="119">
        <f t="shared" si="29"/>
        <v>309.25641024693596</v>
      </c>
      <c r="S162" s="118">
        <f t="shared" si="30"/>
        <v>3.3414759633458986</v>
      </c>
      <c r="T162" s="118">
        <f t="shared" si="31"/>
        <v>13.146799648799059</v>
      </c>
      <c r="U162" s="118">
        <f t="shared" si="32"/>
        <v>-8.8100329965857895</v>
      </c>
      <c r="V162" s="118">
        <f t="shared" si="35"/>
        <v>-14.526367382881862</v>
      </c>
      <c r="W162" s="118">
        <f t="shared" si="36"/>
        <v>-10.189600730668591</v>
      </c>
      <c r="X162" s="118">
        <f>IF(OR(N162="",R162=""),NA(),10*LOG10((G162+'CMOS FOM coeff. calculation'!$Q$3)^'CMOS FOM coeff. calculation'!$P$3*(1000*E162)^'CMOS FOM coeff. calculation'!$N$3*R162^'CMOS FOM coeff. calculation'!$O$3*N162^'CMOS FOM coeff. calculation'!$M$3))</f>
        <v>15.748502712252199</v>
      </c>
      <c r="Z162" s="4" t="s">
        <v>3422</v>
      </c>
      <c r="AA162" s="3"/>
    </row>
    <row r="163" spans="1:27">
      <c r="A163" t="s">
        <v>3587</v>
      </c>
      <c r="B163" s="8" t="s">
        <v>3420</v>
      </c>
      <c r="C163" s="39" t="s">
        <v>3181</v>
      </c>
      <c r="D163" t="s">
        <v>3421</v>
      </c>
      <c r="E163" s="21">
        <v>2.1999999999999999E-2</v>
      </c>
      <c r="F163" s="1">
        <v>25.6</v>
      </c>
      <c r="G163" s="1">
        <v>20.5</v>
      </c>
      <c r="H163" s="1">
        <v>-9.6</v>
      </c>
      <c r="I163" s="1">
        <v>1.8</v>
      </c>
      <c r="J163" s="1">
        <v>-9.1</v>
      </c>
      <c r="L163" s="1">
        <v>14.7</v>
      </c>
      <c r="M163" s="1">
        <v>0.8</v>
      </c>
      <c r="N163" s="1">
        <v>10</v>
      </c>
      <c r="O163" s="1">
        <v>0.04</v>
      </c>
      <c r="Q163" s="118">
        <f t="shared" si="28"/>
        <v>0.53157329902979655</v>
      </c>
      <c r="R163" s="119">
        <f t="shared" si="29"/>
        <v>154.156256718641</v>
      </c>
      <c r="S163" s="118">
        <f t="shared" si="30"/>
        <v>3.5077536706197758</v>
      </c>
      <c r="T163" s="118">
        <f t="shared" si="31"/>
        <v>13.944970097044958</v>
      </c>
      <c r="U163" s="118">
        <f t="shared" si="32"/>
        <v>-9.2508368793387934</v>
      </c>
      <c r="V163" s="118">
        <f t="shared" si="35"/>
        <v>-14.308794944106983</v>
      </c>
      <c r="W163" s="118">
        <f t="shared" si="36"/>
        <v>-9.6146617264008185</v>
      </c>
      <c r="X163" s="118">
        <f>IF(OR(N163="",R163=""),NA(),10*LOG10((G163+'CMOS FOM coeff. calculation'!$Q$3)^'CMOS FOM coeff. calculation'!$P$3*(1000*E163)^'CMOS FOM coeff. calculation'!$N$3*R163^'CMOS FOM coeff. calculation'!$O$3*N163^'CMOS FOM coeff. calculation'!$M$3))</f>
        <v>18.511897856940852</v>
      </c>
      <c r="Z163" s="4" t="s">
        <v>3423</v>
      </c>
      <c r="AA163" s="3"/>
    </row>
    <row r="164" spans="1:27">
      <c r="E164" s="21">
        <v>2.1999999999999999E-2</v>
      </c>
      <c r="F164" s="1">
        <v>32.700000000000003</v>
      </c>
      <c r="G164" s="1">
        <v>22.35</v>
      </c>
      <c r="H164" s="1">
        <v>-9.6</v>
      </c>
      <c r="I164" s="1">
        <v>1.9</v>
      </c>
      <c r="J164" s="1">
        <v>-7.8</v>
      </c>
      <c r="L164" s="1">
        <v>15.6</v>
      </c>
      <c r="M164" s="1">
        <v>0.8</v>
      </c>
      <c r="N164" s="1">
        <v>7.8</v>
      </c>
      <c r="O164" s="1">
        <v>0.03</v>
      </c>
      <c r="Q164" s="118">
        <f t="shared" si="28"/>
        <v>0.56436039489906409</v>
      </c>
      <c r="R164" s="119">
        <f t="shared" si="29"/>
        <v>163.66451452072857</v>
      </c>
      <c r="S164" s="118">
        <f t="shared" si="30"/>
        <v>5.8596371699998224</v>
      </c>
      <c r="T164" s="118">
        <f t="shared" si="31"/>
        <v>13.595061368372942</v>
      </c>
      <c r="U164" s="118">
        <f t="shared" si="32"/>
        <v>-8.5465688595053209</v>
      </c>
      <c r="V164" s="118">
        <f t="shared" si="35"/>
        <v>-12.981474987500324</v>
      </c>
      <c r="W164" s="118">
        <f t="shared" si="36"/>
        <v>-7.9329824786327032</v>
      </c>
      <c r="X164" s="118">
        <f>IF(OR(N164="",R164=""),NA(),10*LOG10((G164+'CMOS FOM coeff. calculation'!$Q$3)^'CMOS FOM coeff. calculation'!$P$3*(1000*E164)^'CMOS FOM coeff. calculation'!$N$3*R164^'CMOS FOM coeff. calculation'!$O$3*N164^'CMOS FOM coeff. calculation'!$M$3))</f>
        <v>18.94492644702305</v>
      </c>
      <c r="Z164" s="4"/>
      <c r="AA164" s="3"/>
    </row>
    <row r="165" spans="1:27">
      <c r="A165" t="s">
        <v>3588</v>
      </c>
      <c r="B165" s="8" t="s">
        <v>3589</v>
      </c>
      <c r="C165" s="39" t="s">
        <v>2903</v>
      </c>
      <c r="D165" t="s">
        <v>3590</v>
      </c>
      <c r="E165" s="21">
        <v>0.09</v>
      </c>
      <c r="F165" s="1">
        <v>7.2</v>
      </c>
      <c r="G165" s="1">
        <v>25.5</v>
      </c>
      <c r="H165" s="1">
        <v>-10</v>
      </c>
      <c r="I165" s="1">
        <v>1.98</v>
      </c>
      <c r="J165" s="1">
        <v>-19.600000000000001</v>
      </c>
      <c r="K165" s="1">
        <v>-10</v>
      </c>
      <c r="L165" s="1">
        <v>23.3</v>
      </c>
      <c r="N165" s="1">
        <v>9.5</v>
      </c>
      <c r="O165" s="1">
        <v>0.34799999999999998</v>
      </c>
      <c r="Q165" s="118">
        <f t="shared" si="28"/>
        <v>0.58032565672977965</v>
      </c>
      <c r="R165" s="119">
        <f t="shared" si="29"/>
        <v>168.29444045163609</v>
      </c>
      <c r="S165" s="118">
        <f t="shared" si="30"/>
        <v>2.3332640333584904</v>
      </c>
      <c r="T165" s="118">
        <f t="shared" si="31"/>
        <v>5.4622950710107148</v>
      </c>
      <c r="U165" s="118">
        <f t="shared" si="32"/>
        <v>-2.604520082906487</v>
      </c>
      <c r="V165" s="118">
        <f t="shared" si="35"/>
        <v>-8.697436433012415</v>
      </c>
      <c r="W165" s="118">
        <f t="shared" si="36"/>
        <v>-5.8396614449081872</v>
      </c>
      <c r="X165" s="118">
        <f>IF(OR(N165="",R165=""),NA(),10*LOG10((G165+'CMOS FOM coeff. calculation'!$Q$3)^'CMOS FOM coeff. calculation'!$P$3*(1000*E165)^'CMOS FOM coeff. calculation'!$N$3*R165^'CMOS FOM coeff. calculation'!$O$3*N165^'CMOS FOM coeff. calculation'!$M$3))</f>
        <v>23.665432565750546</v>
      </c>
      <c r="Z165" s="4" t="s">
        <v>3591</v>
      </c>
      <c r="AA165" s="3"/>
    </row>
    <row r="166" spans="1:27">
      <c r="A166" t="s">
        <v>3524</v>
      </c>
      <c r="B166" s="8" t="s">
        <v>3396</v>
      </c>
      <c r="C166" s="39" t="s">
        <v>3597</v>
      </c>
      <c r="D166" t="s">
        <v>3398</v>
      </c>
      <c r="E166" s="21">
        <v>2.1999999999999999E-2</v>
      </c>
      <c r="F166" s="1">
        <v>10.8</v>
      </c>
      <c r="G166" s="1">
        <v>151.9</v>
      </c>
      <c r="H166" s="1">
        <v>-6.5</v>
      </c>
      <c r="I166" s="1">
        <v>7.9</v>
      </c>
      <c r="J166" s="1">
        <v>-8.8000000000000007</v>
      </c>
      <c r="K166" s="1">
        <v>2</v>
      </c>
      <c r="L166" s="1">
        <v>18</v>
      </c>
      <c r="N166" s="1">
        <v>17.5</v>
      </c>
      <c r="O166" s="1">
        <v>0.09</v>
      </c>
      <c r="Q166" s="118">
        <f t="shared" si="28"/>
        <v>5.2491433339775595</v>
      </c>
      <c r="R166" s="119">
        <f t="shared" si="29"/>
        <v>1522.2515668534922</v>
      </c>
      <c r="S166" s="118">
        <f t="shared" si="30"/>
        <v>8.1858120371710701</v>
      </c>
      <c r="T166" s="118">
        <f t="shared" si="31"/>
        <v>18.901656910710969</v>
      </c>
      <c r="U166" s="118">
        <f t="shared" si="32"/>
        <v>-15.456911059087803</v>
      </c>
      <c r="V166" s="118">
        <f t="shared" si="35"/>
        <v>-21.748179361473426</v>
      </c>
      <c r="W166" s="118">
        <f t="shared" si="36"/>
        <v>-18.303433509850262</v>
      </c>
      <c r="X166" s="118">
        <f>IF(OR(N166="",R166=""),NA(),10*LOG10((G166+'CMOS FOM coeff. calculation'!$Q$3)^'CMOS FOM coeff. calculation'!$P$3*(1000*E166)^'CMOS FOM coeff. calculation'!$N$3*R166^'CMOS FOM coeff. calculation'!$O$3*N166^'CMOS FOM coeff. calculation'!$M$3))</f>
        <v>22.67589744969596</v>
      </c>
      <c r="Z166" s="4" t="s">
        <v>3399</v>
      </c>
      <c r="AA166" s="3"/>
    </row>
    <row r="167" spans="1:27">
      <c r="A167" t="s">
        <v>3753</v>
      </c>
      <c r="B167" s="8" t="s">
        <v>3598</v>
      </c>
      <c r="C167" s="39" t="s">
        <v>3599</v>
      </c>
      <c r="D167" t="s">
        <v>3600</v>
      </c>
      <c r="E167" s="21">
        <v>6.5000000000000002E-2</v>
      </c>
      <c r="F167" s="1">
        <v>6</v>
      </c>
      <c r="G167" s="1">
        <v>5</v>
      </c>
      <c r="H167" s="1">
        <v>-10</v>
      </c>
      <c r="I167" s="1">
        <v>2.8</v>
      </c>
      <c r="J167" s="1">
        <v>-13.9</v>
      </c>
      <c r="K167" s="1">
        <v>-3.4</v>
      </c>
      <c r="L167" s="1">
        <v>16.600000000000001</v>
      </c>
      <c r="M167" s="1">
        <v>1.5</v>
      </c>
      <c r="N167" s="1">
        <v>11.9</v>
      </c>
      <c r="O167" s="1">
        <v>0.25</v>
      </c>
      <c r="Q167" s="118">
        <f t="shared" si="28"/>
        <v>0.92571311422411062</v>
      </c>
      <c r="R167" s="119">
        <f t="shared" si="29"/>
        <v>268.45680312499206</v>
      </c>
      <c r="S167" s="118">
        <f t="shared" si="30"/>
        <v>1.8213491088824565</v>
      </c>
      <c r="T167" s="118">
        <f t="shared" si="31"/>
        <v>14.417942583066004</v>
      </c>
      <c r="U167" s="118">
        <f t="shared" si="32"/>
        <v>-11.824105081787192</v>
      </c>
      <c r="V167" s="118">
        <f t="shared" si="35"/>
        <v>-15.508066332317425</v>
      </c>
      <c r="W167" s="118">
        <f t="shared" si="36"/>
        <v>-12.914228831038612</v>
      </c>
      <c r="X167" s="118">
        <f>IF(OR(N167="",R167=""),NA(),10*LOG10((G167+'CMOS FOM coeff. calculation'!$Q$3)^'CMOS FOM coeff. calculation'!$P$3*(1000*E167)^'CMOS FOM coeff. calculation'!$N$3*R167^'CMOS FOM coeff. calculation'!$O$3*N167^'CMOS FOM coeff. calculation'!$M$3))</f>
        <v>14.345454420383124</v>
      </c>
      <c r="Z167" s="4" t="s">
        <v>3601</v>
      </c>
      <c r="AA167" s="3"/>
    </row>
    <row r="168" spans="1:27">
      <c r="E168" s="21">
        <v>6.5000000000000002E-2</v>
      </c>
      <c r="F168" s="1">
        <v>10</v>
      </c>
      <c r="G168" s="1">
        <v>13</v>
      </c>
      <c r="H168" s="1">
        <v>-10</v>
      </c>
      <c r="I168" s="1">
        <v>2.4500000000000002</v>
      </c>
      <c r="J168" s="1">
        <v>-12.1</v>
      </c>
      <c r="K168" s="1">
        <v>-2.6</v>
      </c>
      <c r="L168" s="1">
        <v>16.2</v>
      </c>
      <c r="N168" s="1">
        <v>11.9</v>
      </c>
      <c r="O168" s="1">
        <v>0.25</v>
      </c>
      <c r="Q168" s="118">
        <f t="shared" si="28"/>
        <v>0.77655179402705021</v>
      </c>
      <c r="R168" s="119">
        <f t="shared" si="29"/>
        <v>225.20002026784456</v>
      </c>
      <c r="S168" s="118">
        <f t="shared" si="30"/>
        <v>2.5087362825827162</v>
      </c>
      <c r="T168" s="118">
        <f t="shared" si="31"/>
        <v>10.888393707690327</v>
      </c>
      <c r="U168" s="118">
        <f t="shared" si="32"/>
        <v>-7.5550603743569926</v>
      </c>
      <c r="V168" s="118">
        <f t="shared" si="35"/>
        <v>-12.89822257269485</v>
      </c>
      <c r="W168" s="118">
        <f t="shared" si="36"/>
        <v>-9.5648892393615164</v>
      </c>
      <c r="X168" s="118">
        <f>IF(OR(N168="",R168=""),NA(),10*LOG10((G168+'CMOS FOM coeff. calculation'!$Q$3)^'CMOS FOM coeff. calculation'!$P$3*(1000*E168)^'CMOS FOM coeff. calculation'!$N$3*R168^'CMOS FOM coeff. calculation'!$O$3*N168^'CMOS FOM coeff. calculation'!$M$3))</f>
        <v>18.057561827009302</v>
      </c>
      <c r="Z168" s="4"/>
      <c r="AA168" s="3"/>
    </row>
    <row r="169" spans="1:27" ht="18">
      <c r="A169" t="s">
        <v>3774</v>
      </c>
      <c r="B169" s="8" t="s">
        <v>3775</v>
      </c>
      <c r="C169" s="39" t="s">
        <v>3776</v>
      </c>
      <c r="D169" t="s">
        <v>3777</v>
      </c>
      <c r="E169" s="21">
        <v>6.5000000000000002E-2</v>
      </c>
      <c r="F169" s="1">
        <v>7.6</v>
      </c>
      <c r="G169" s="1">
        <v>26.5</v>
      </c>
      <c r="H169" s="1">
        <v>-10</v>
      </c>
      <c r="I169" s="1">
        <v>3.8</v>
      </c>
      <c r="J169" s="1">
        <v>-8.6999999999999993</v>
      </c>
      <c r="L169" s="1">
        <v>10</v>
      </c>
      <c r="M169" s="1">
        <v>0.6</v>
      </c>
      <c r="N169" s="1">
        <v>2.2599999999999998</v>
      </c>
      <c r="O169" s="1">
        <v>0.25</v>
      </c>
      <c r="Q169" s="118">
        <f t="shared" si="28"/>
        <v>1.5542587989105452</v>
      </c>
      <c r="R169" s="119">
        <f t="shared" si="29"/>
        <v>450.73505168405808</v>
      </c>
      <c r="S169" s="118">
        <f t="shared" si="30"/>
        <v>1.214066594332488</v>
      </c>
      <c r="T169" s="118">
        <f t="shared" si="31"/>
        <v>9.4351108955927252</v>
      </c>
      <c r="U169" s="118">
        <f t="shared" si="32"/>
        <v>-6.4990655879900885</v>
      </c>
      <c r="V169" s="118">
        <f t="shared" si="35"/>
        <v>-11.121861429885191</v>
      </c>
      <c r="W169" s="118">
        <f t="shared" si="36"/>
        <v>-8.1858161222825547</v>
      </c>
      <c r="X169" s="118">
        <f>IF(OR(N169="",R169=""),NA(),10*LOG10((G169+'CMOS FOM coeff. calculation'!$Q$3)^'CMOS FOM coeff. calculation'!$P$3*(1000*E169)^'CMOS FOM coeff. calculation'!$N$3*R169^'CMOS FOM coeff. calculation'!$O$3*N169^'CMOS FOM coeff. calculation'!$M$3))</f>
        <v>20.288772809692617</v>
      </c>
      <c r="Z169" s="4" t="s">
        <v>3778</v>
      </c>
      <c r="AA169" s="3"/>
    </row>
    <row r="170" spans="1:27">
      <c r="E170" s="21">
        <v>6.5000000000000002E-2</v>
      </c>
      <c r="F170" s="1">
        <v>8.6</v>
      </c>
      <c r="G170" s="1">
        <v>27.2</v>
      </c>
      <c r="H170" s="1">
        <v>-10</v>
      </c>
      <c r="I170" s="1">
        <v>3.47</v>
      </c>
      <c r="J170" s="1">
        <v>-11.74</v>
      </c>
      <c r="L170" s="1">
        <v>13.9</v>
      </c>
      <c r="M170" s="1">
        <v>0.6</v>
      </c>
      <c r="N170" s="1">
        <v>4.8</v>
      </c>
      <c r="O170" s="1">
        <v>0.25</v>
      </c>
      <c r="Q170" s="118">
        <f t="shared" ref="Q170:Q180" si="37">IF(OR(I170="",L170=""),"",(10^(I170/10)-1)*10^(L170/10)/(10^(L170/10)-1))</f>
        <v>1.2752615303000567</v>
      </c>
      <c r="R170" s="119">
        <f t="shared" ref="R170:R180" si="38">IF(Q170="","",290*Q170)</f>
        <v>369.82584378701642</v>
      </c>
      <c r="S170" s="118">
        <f t="shared" si="30"/>
        <v>1.5773832622732795</v>
      </c>
      <c r="T170" s="118">
        <f t="shared" si="31"/>
        <v>9.590825931475992</v>
      </c>
      <c r="U170" s="118">
        <f t="shared" si="32"/>
        <v>-6.4758310939974333</v>
      </c>
      <c r="V170" s="118">
        <f t="shared" si="35"/>
        <v>-12.026780164369406</v>
      </c>
      <c r="W170" s="118">
        <f t="shared" si="36"/>
        <v>-8.9117853268908469</v>
      </c>
      <c r="X170" s="118">
        <f>IF(OR(N170="",R170=""),NA(),10*LOG10((G170+'CMOS FOM coeff. calculation'!$Q$3)^'CMOS FOM coeff. calculation'!$P$3*(1000*E170)^'CMOS FOM coeff. calculation'!$N$3*R170^'CMOS FOM coeff. calculation'!$O$3*N170^'CMOS FOM coeff. calculation'!$M$3))</f>
        <v>20.555942532955097</v>
      </c>
      <c r="Z170" s="4"/>
      <c r="AA170" s="3"/>
    </row>
    <row r="171" spans="1:27" ht="18">
      <c r="A171" t="s">
        <v>3779</v>
      </c>
      <c r="B171" s="8" t="s">
        <v>3780</v>
      </c>
      <c r="C171" t="s">
        <v>3641</v>
      </c>
      <c r="D171" t="s">
        <v>3781</v>
      </c>
      <c r="E171" s="21">
        <v>2.8000000000000001E-2</v>
      </c>
      <c r="F171" s="1">
        <v>8</v>
      </c>
      <c r="G171" s="1">
        <v>32</v>
      </c>
      <c r="H171" s="1">
        <v>-10</v>
      </c>
      <c r="I171" s="1">
        <v>5.3</v>
      </c>
      <c r="J171" s="1">
        <v>-10.3</v>
      </c>
      <c r="K171" s="1">
        <v>0</v>
      </c>
      <c r="L171" s="1">
        <v>17.3</v>
      </c>
      <c r="M171" s="1">
        <v>1</v>
      </c>
      <c r="N171" s="1">
        <v>63</v>
      </c>
      <c r="O171" s="1">
        <v>0.1</v>
      </c>
      <c r="Q171" s="118">
        <f t="shared" si="37"/>
        <v>2.4337602988541982</v>
      </c>
      <c r="R171" s="119">
        <f t="shared" si="38"/>
        <v>705.79048666771746</v>
      </c>
      <c r="S171" s="118">
        <f t="shared" si="30"/>
        <v>4.9185469061930238</v>
      </c>
      <c r="T171" s="118">
        <f t="shared" si="31"/>
        <v>20.530806248016383</v>
      </c>
      <c r="U171" s="118">
        <f t="shared" si="32"/>
        <v>-17.52050629137657</v>
      </c>
      <c r="V171" s="118">
        <f t="shared" si="35"/>
        <v>-24.063512053616538</v>
      </c>
      <c r="W171" s="118">
        <f t="shared" si="36"/>
        <v>-21.053212096976726</v>
      </c>
      <c r="X171" s="118">
        <f>IF(OR(N171="",R171=""),NA(),10*LOG10((G171+'CMOS FOM coeff. calculation'!$Q$3)^'CMOS FOM coeff. calculation'!$P$3*(1000*E171)^'CMOS FOM coeff. calculation'!$N$3*R171^'CMOS FOM coeff. calculation'!$O$3*N171^'CMOS FOM coeff. calculation'!$M$3))</f>
        <v>14.186182429640207</v>
      </c>
      <c r="Z171" s="4" t="s">
        <v>3782</v>
      </c>
      <c r="AA171" s="3"/>
    </row>
    <row r="172" spans="1:27">
      <c r="A172" t="s">
        <v>3779</v>
      </c>
      <c r="B172" s="8" t="s">
        <v>3787</v>
      </c>
      <c r="C172" t="s">
        <v>3788</v>
      </c>
      <c r="D172" t="s">
        <v>3789</v>
      </c>
      <c r="E172" s="21">
        <v>5.5E-2</v>
      </c>
      <c r="F172" s="1">
        <v>6</v>
      </c>
      <c r="G172" s="1">
        <v>5.5</v>
      </c>
      <c r="H172" s="1">
        <v>-10</v>
      </c>
      <c r="I172" s="1">
        <v>1.8</v>
      </c>
      <c r="J172" s="1">
        <v>-20.5</v>
      </c>
      <c r="L172" s="1">
        <v>24.6</v>
      </c>
      <c r="M172" s="1">
        <v>1.2</v>
      </c>
      <c r="N172" s="1">
        <v>9.1</v>
      </c>
      <c r="P172" s="1">
        <v>0.54</v>
      </c>
      <c r="Q172" s="118">
        <f t="shared" si="37"/>
        <v>0.51534815038170712</v>
      </c>
      <c r="R172" s="119">
        <f t="shared" si="38"/>
        <v>149.45096361069506</v>
      </c>
      <c r="S172" s="118">
        <f t="shared" si="30"/>
        <v>2.5614832733875277</v>
      </c>
      <c r="T172" s="118">
        <f t="shared" si="31"/>
        <v>12.177224734586659</v>
      </c>
      <c r="U172" s="118">
        <f t="shared" si="32"/>
        <v>-9.583387233307846</v>
      </c>
      <c r="V172" s="118">
        <f t="shared" si="35"/>
        <v>-12.281475558094693</v>
      </c>
      <c r="W172" s="118">
        <f t="shared" si="36"/>
        <v>-9.6876380568158798</v>
      </c>
      <c r="X172" s="118">
        <f>IF(OR(N172="",R172=""),NA(),10*LOG10((G172+'CMOS FOM coeff. calculation'!$Q$3)^'CMOS FOM coeff. calculation'!$P$3*(1000*E172)^'CMOS FOM coeff. calculation'!$N$3*R172^'CMOS FOM coeff. calculation'!$O$3*N172^'CMOS FOM coeff. calculation'!$M$3))</f>
        <v>16.583292088897672</v>
      </c>
      <c r="Z172" s="4" t="s">
        <v>3790</v>
      </c>
      <c r="AA172" s="3"/>
    </row>
    <row r="173" spans="1:27">
      <c r="A173" t="s">
        <v>3753</v>
      </c>
      <c r="B173" s="8" t="s">
        <v>3791</v>
      </c>
      <c r="C173" t="s">
        <v>3792</v>
      </c>
      <c r="D173" t="s">
        <v>3793</v>
      </c>
      <c r="E173" s="21">
        <v>0.13</v>
      </c>
      <c r="F173" s="1">
        <v>2.8</v>
      </c>
      <c r="G173" s="1">
        <v>3.5</v>
      </c>
      <c r="H173" s="1">
        <v>-10</v>
      </c>
      <c r="I173" s="1">
        <v>0.85</v>
      </c>
      <c r="J173" s="1">
        <v>-16.5</v>
      </c>
      <c r="K173" s="1">
        <v>1</v>
      </c>
      <c r="L173" s="1">
        <v>30.5</v>
      </c>
      <c r="M173" s="1">
        <v>2</v>
      </c>
      <c r="N173" s="1">
        <v>240</v>
      </c>
      <c r="P173" s="1">
        <v>0.64</v>
      </c>
      <c r="Q173" s="118">
        <f t="shared" si="37"/>
        <v>0.21637884849808425</v>
      </c>
      <c r="R173" s="119">
        <f t="shared" si="38"/>
        <v>62.749866064444433</v>
      </c>
      <c r="S173" s="118">
        <f t="shared" ref="S173:S187" si="39">IF(OR(J173="",L173=""),"",10^(J173/10)*(10^(L173/10)-1))</f>
        <v>25.096477103710114</v>
      </c>
      <c r="T173" s="118">
        <f t="shared" ref="T173:T187" si="40">IF(OR(Q173="",N173="",E173="",G173=""),NA(),10*LOG10(Q173*N173^(1/3)*E173^(-4/3)*G173^(-2/3)))</f>
        <v>9.4731538654268945</v>
      </c>
      <c r="U173" s="118">
        <f t="shared" ref="U173:U187" si="41">IF(OR(ISNA(T173),F173=""),NA(),10*LOG10(F173^(1/3))-T173)</f>
        <v>-7.9826270942861637</v>
      </c>
      <c r="V173" s="118">
        <f t="shared" ref="V173:V187" si="42">IF(OR(ISNA(T173),S173=""),NA(),10*LOG10(S173^(1/3)*E173*G173^(1/3)/Q173/N173^(2/3)))</f>
        <v>-11.601853453166493</v>
      </c>
      <c r="W173" s="118">
        <f t="shared" ref="W173:W187" si="43">IF(OR(ISNA(V173),F173=""),NA(),V173+10*LOG10(F173^(1/3)))</f>
        <v>-10.111326682025762</v>
      </c>
      <c r="X173" s="118">
        <f>IF(OR(N173="",R173=""),NA(),10*LOG10((G173+'CMOS FOM coeff. calculation'!$Q$3)^'CMOS FOM coeff. calculation'!$P$3*(1000*E173)^'CMOS FOM coeff. calculation'!$N$3*R173^'CMOS FOM coeff. calculation'!$O$3*N173^'CMOS FOM coeff. calculation'!$M$3))</f>
        <v>18.818131081337089</v>
      </c>
      <c r="Z173" s="4" t="s">
        <v>3794</v>
      </c>
      <c r="AA173" s="3"/>
    </row>
    <row r="174" spans="1:27">
      <c r="B174" s="8"/>
      <c r="E174" s="21">
        <v>0.13</v>
      </c>
      <c r="F174" s="1">
        <v>2.8</v>
      </c>
      <c r="G174" s="1">
        <v>3.5</v>
      </c>
      <c r="H174" s="1">
        <v>-10</v>
      </c>
      <c r="I174" s="1">
        <v>0.85</v>
      </c>
      <c r="J174" s="1">
        <v>-16.5</v>
      </c>
      <c r="K174" s="1">
        <v>5</v>
      </c>
      <c r="L174" s="1">
        <v>30.5</v>
      </c>
      <c r="M174" s="1">
        <v>2</v>
      </c>
      <c r="N174" s="1">
        <v>240</v>
      </c>
      <c r="P174" s="1">
        <v>0.64</v>
      </c>
      <c r="Q174" s="118">
        <f t="shared" si="37"/>
        <v>0.21637884849808425</v>
      </c>
      <c r="R174" s="119">
        <f t="shared" si="38"/>
        <v>62.749866064444433</v>
      </c>
      <c r="S174" s="118">
        <f t="shared" si="39"/>
        <v>25.096477103710114</v>
      </c>
      <c r="T174" s="118">
        <f t="shared" si="40"/>
        <v>9.4731538654268945</v>
      </c>
      <c r="U174" s="118">
        <f t="shared" si="41"/>
        <v>-7.9826270942861637</v>
      </c>
      <c r="V174" s="118">
        <f t="shared" si="42"/>
        <v>-11.601853453166493</v>
      </c>
      <c r="W174" s="118">
        <f t="shared" si="43"/>
        <v>-10.111326682025762</v>
      </c>
      <c r="X174" s="118">
        <f>IF(OR(N174="",R174=""),NA(),10*LOG10((G174+'CMOS FOM coeff. calculation'!$Q$3)^'CMOS FOM coeff. calculation'!$P$3*(1000*E174)^'CMOS FOM coeff. calculation'!$N$3*R174^'CMOS FOM coeff. calculation'!$O$3*N174^'CMOS FOM coeff. calculation'!$M$3))</f>
        <v>18.818131081337089</v>
      </c>
      <c r="Z174" s="4"/>
      <c r="AA174" s="3"/>
    </row>
    <row r="175" spans="1:27">
      <c r="B175" s="8"/>
      <c r="E175" s="21">
        <v>0.13</v>
      </c>
      <c r="F175" s="1">
        <v>1.6</v>
      </c>
      <c r="G175" s="1">
        <v>2.95</v>
      </c>
      <c r="H175" s="1">
        <v>-10</v>
      </c>
      <c r="I175" s="1">
        <v>0.96</v>
      </c>
      <c r="K175" s="1">
        <v>-5.5</v>
      </c>
      <c r="L175" s="1">
        <v>24</v>
      </c>
      <c r="M175" s="1">
        <v>2</v>
      </c>
      <c r="N175" s="1">
        <v>68</v>
      </c>
      <c r="P175" s="1">
        <v>0.64</v>
      </c>
      <c r="Q175" s="118">
        <f t="shared" si="37"/>
        <v>0.24837230218762077</v>
      </c>
      <c r="R175" s="119">
        <f t="shared" si="38"/>
        <v>72.027967634410018</v>
      </c>
      <c r="S175" s="118" t="str">
        <f t="shared" si="39"/>
        <v/>
      </c>
      <c r="T175" s="118">
        <f t="shared" si="40"/>
        <v>8.7413365335758115</v>
      </c>
      <c r="U175" s="118">
        <f t="shared" si="41"/>
        <v>-8.060936591389396</v>
      </c>
      <c r="V175" s="118" t="e">
        <f t="shared" si="42"/>
        <v>#N/A</v>
      </c>
      <c r="W175" s="118" t="e">
        <f t="shared" si="43"/>
        <v>#N/A</v>
      </c>
      <c r="X175" s="118">
        <f>IF(OR(N175="",R175=""),NA(),10*LOG10((G175+'CMOS FOM coeff. calculation'!$Q$3)^'CMOS FOM coeff. calculation'!$P$3*(1000*E175)^'CMOS FOM coeff. calculation'!$N$3*R175^'CMOS FOM coeff. calculation'!$O$3*N175^'CMOS FOM coeff. calculation'!$M$3))</f>
        <v>19.100357681570024</v>
      </c>
      <c r="Z175" s="4"/>
      <c r="AA175" s="3"/>
    </row>
    <row r="176" spans="1:27">
      <c r="B176" s="8"/>
      <c r="E176" s="21">
        <v>0.13</v>
      </c>
      <c r="F176" s="1">
        <v>1.6</v>
      </c>
      <c r="G176" s="1">
        <v>2.95</v>
      </c>
      <c r="H176" s="1">
        <v>-10</v>
      </c>
      <c r="I176" s="1">
        <v>0.96</v>
      </c>
      <c r="K176" s="1">
        <v>-5.5</v>
      </c>
      <c r="L176" s="1">
        <v>24</v>
      </c>
      <c r="M176" s="1">
        <v>2</v>
      </c>
      <c r="N176" s="1">
        <v>68</v>
      </c>
      <c r="P176" s="1">
        <v>0.64</v>
      </c>
      <c r="Q176" s="118">
        <f t="shared" si="37"/>
        <v>0.24837230218762077</v>
      </c>
      <c r="R176" s="119">
        <f t="shared" si="38"/>
        <v>72.027967634410018</v>
      </c>
      <c r="S176" s="118" t="str">
        <f t="shared" si="39"/>
        <v/>
      </c>
      <c r="T176" s="118">
        <f t="shared" si="40"/>
        <v>8.7413365335758115</v>
      </c>
      <c r="U176" s="118">
        <f t="shared" si="41"/>
        <v>-8.060936591389396</v>
      </c>
      <c r="V176" s="118" t="e">
        <f t="shared" si="42"/>
        <v>#N/A</v>
      </c>
      <c r="W176" s="118" t="e">
        <f t="shared" si="43"/>
        <v>#N/A</v>
      </c>
      <c r="X176" s="118">
        <f>IF(OR(N176="",R176=""),NA(),10*LOG10((G176+'CMOS FOM coeff. calculation'!$Q$3)^'CMOS FOM coeff. calculation'!$P$3*(1000*E176)^'CMOS FOM coeff. calculation'!$N$3*R176^'CMOS FOM coeff. calculation'!$O$3*N176^'CMOS FOM coeff. calculation'!$M$3))</f>
        <v>19.100357681570024</v>
      </c>
      <c r="Z176" s="4"/>
      <c r="AA176" s="3"/>
    </row>
    <row r="177" spans="1:27" ht="18">
      <c r="A177" t="s">
        <v>3779</v>
      </c>
      <c r="B177" s="8" t="s">
        <v>3808</v>
      </c>
      <c r="C177" t="s">
        <v>3809</v>
      </c>
      <c r="D177" t="s">
        <v>3810</v>
      </c>
      <c r="E177" s="21">
        <v>0.04</v>
      </c>
      <c r="F177" s="1">
        <v>16.5</v>
      </c>
      <c r="G177" s="1">
        <v>139.25</v>
      </c>
      <c r="H177" s="1">
        <v>-10</v>
      </c>
      <c r="I177" s="1">
        <v>6.1</v>
      </c>
      <c r="J177" s="1">
        <v>-16.7</v>
      </c>
      <c r="K177" s="1">
        <v>-8.5</v>
      </c>
      <c r="L177" s="1">
        <v>18.399999999999999</v>
      </c>
      <c r="M177" s="1">
        <v>0.9</v>
      </c>
      <c r="N177" s="1">
        <v>17.100000000000001</v>
      </c>
      <c r="O177" s="1">
        <v>5.7000000000000002E-2</v>
      </c>
      <c r="Q177" s="118">
        <f t="shared" si="37"/>
        <v>3.118884373174573</v>
      </c>
      <c r="R177" s="119">
        <f t="shared" si="38"/>
        <v>904.4764682206262</v>
      </c>
      <c r="S177" s="118">
        <f t="shared" si="39"/>
        <v>1.4577287672731853</v>
      </c>
      <c r="T177" s="118">
        <f t="shared" si="40"/>
        <v>13.397211868599948</v>
      </c>
      <c r="U177" s="118">
        <f t="shared" si="41"/>
        <v>-9.3389320545535952</v>
      </c>
      <c r="V177" s="118">
        <f t="shared" si="42"/>
        <v>-19.447793805920533</v>
      </c>
      <c r="W177" s="118">
        <f t="shared" si="43"/>
        <v>-15.389513991874178</v>
      </c>
      <c r="X177" s="118"/>
      <c r="Z177" s="4" t="s">
        <v>3811</v>
      </c>
      <c r="AA177" s="3"/>
    </row>
    <row r="178" spans="1:27" ht="18">
      <c r="A178" t="s">
        <v>3807</v>
      </c>
      <c r="B178" s="8" t="s">
        <v>3821</v>
      </c>
      <c r="C178" t="s">
        <v>3822</v>
      </c>
      <c r="D178" t="s">
        <v>3823</v>
      </c>
      <c r="E178" s="21">
        <v>2.8000000000000001E-2</v>
      </c>
      <c r="F178" s="1">
        <v>20</v>
      </c>
      <c r="G178" s="1">
        <v>138.5</v>
      </c>
      <c r="H178" s="1">
        <v>-5</v>
      </c>
      <c r="I178" s="1">
        <v>7.9</v>
      </c>
      <c r="J178" s="1">
        <v>-15.4</v>
      </c>
      <c r="L178" s="1">
        <v>17.8</v>
      </c>
      <c r="N178" s="1">
        <v>50.2</v>
      </c>
      <c r="Q178" s="118">
        <f t="shared" si="37"/>
        <v>5.2531302809887501</v>
      </c>
      <c r="R178" s="119">
        <f t="shared" si="38"/>
        <v>1523.4077814867376</v>
      </c>
      <c r="S178" s="118">
        <f t="shared" si="39"/>
        <v>1.7089605137181101</v>
      </c>
      <c r="T178" s="118">
        <f t="shared" si="40"/>
        <v>19.301421867091587</v>
      </c>
      <c r="U178" s="118">
        <f t="shared" si="41"/>
        <v>-14.964655214878317</v>
      </c>
      <c r="V178" s="118">
        <f t="shared" si="42"/>
        <v>-26.156686845809741</v>
      </c>
      <c r="W178" s="118">
        <f t="shared" si="43"/>
        <v>-21.81992019359647</v>
      </c>
      <c r="X178" s="118"/>
      <c r="Z178" s="4" t="s">
        <v>3820</v>
      </c>
      <c r="AA178" s="3"/>
    </row>
    <row r="179" spans="1:27">
      <c r="B179" s="8"/>
      <c r="E179" s="21">
        <v>2.8000000000000001E-2</v>
      </c>
      <c r="F179" s="1">
        <v>16.100000000000001</v>
      </c>
      <c r="G179" s="1">
        <v>138.5</v>
      </c>
      <c r="H179" s="1">
        <v>-5</v>
      </c>
      <c r="I179" s="1">
        <v>9.3000000000000007</v>
      </c>
      <c r="J179" s="1">
        <v>-12.3</v>
      </c>
      <c r="L179" s="1">
        <v>13.1</v>
      </c>
      <c r="N179" s="1">
        <v>50.2</v>
      </c>
      <c r="Q179" s="118">
        <f t="shared" si="37"/>
        <v>7.8982183898323948</v>
      </c>
      <c r="R179" s="119">
        <f t="shared" si="38"/>
        <v>2290.4833330513943</v>
      </c>
      <c r="S179" s="118">
        <f t="shared" si="39"/>
        <v>1.1433800690818541</v>
      </c>
      <c r="T179" s="118">
        <f t="shared" si="40"/>
        <v>21.072531530258189</v>
      </c>
      <c r="U179" s="118">
        <f t="shared" si="41"/>
        <v>-17.049778610152025</v>
      </c>
      <c r="V179" s="118">
        <f t="shared" si="42"/>
        <v>-28.509601211529308</v>
      </c>
      <c r="W179" s="118">
        <f t="shared" si="43"/>
        <v>-24.486848291423144</v>
      </c>
      <c r="X179" s="118"/>
      <c r="Z179" s="4"/>
      <c r="AA179" s="3"/>
    </row>
    <row r="180" spans="1:27" ht="18">
      <c r="A180" t="s">
        <v>3143</v>
      </c>
      <c r="B180" t="s">
        <v>3783</v>
      </c>
      <c r="C180" t="s">
        <v>3784</v>
      </c>
      <c r="D180" t="s">
        <v>3785</v>
      </c>
      <c r="E180" s="21">
        <v>2.8000000000000001E-2</v>
      </c>
      <c r="F180" s="1">
        <v>10</v>
      </c>
      <c r="G180" s="1">
        <v>38.200000000000003</v>
      </c>
      <c r="H180" s="1">
        <v>-12</v>
      </c>
      <c r="I180" s="1">
        <v>2.17</v>
      </c>
      <c r="J180" s="1">
        <v>-13.6</v>
      </c>
      <c r="K180" s="1">
        <v>-3.8</v>
      </c>
      <c r="L180" s="1">
        <v>19.8</v>
      </c>
      <c r="M180" s="1">
        <v>0.9</v>
      </c>
      <c r="N180" s="1">
        <v>14.9</v>
      </c>
      <c r="O180" s="1">
        <v>0.27</v>
      </c>
      <c r="P180" s="1">
        <v>0.48</v>
      </c>
      <c r="Q180" s="118">
        <f t="shared" si="37"/>
        <v>0.65502130662297353</v>
      </c>
      <c r="R180" s="119">
        <f t="shared" si="38"/>
        <v>189.95617892066232</v>
      </c>
      <c r="S180" s="118">
        <f t="shared" si="39"/>
        <v>4.125042251479341</v>
      </c>
      <c r="T180" s="118">
        <f t="shared" si="40"/>
        <v>12.230645660853945</v>
      </c>
      <c r="U180" s="118">
        <f t="shared" si="41"/>
        <v>-8.897312327520611</v>
      </c>
      <c r="V180" s="118">
        <f t="shared" si="42"/>
        <v>-14.187243198917145</v>
      </c>
      <c r="W180" s="118">
        <f t="shared" si="43"/>
        <v>-10.853909865583811</v>
      </c>
      <c r="X180" s="118">
        <f>IF(OR(N180="",R180=""),NA(),10*LOG10((G180+'CMOS FOM coeff. calculation'!$Q$3)^'CMOS FOM coeff. calculation'!$P$3*(1000*E180)^'CMOS FOM coeff. calculation'!$N$3*R180^'CMOS FOM coeff. calculation'!$O$3*N180^'CMOS FOM coeff. calculation'!$M$3))</f>
        <v>21.662478598046306</v>
      </c>
      <c r="Z180" s="4" t="s">
        <v>3786</v>
      </c>
      <c r="AA180" s="3"/>
    </row>
    <row r="181" spans="1:27">
      <c r="A181" t="s">
        <v>3774</v>
      </c>
      <c r="B181" s="8" t="s">
        <v>3602</v>
      </c>
      <c r="C181" s="39" t="s">
        <v>3603</v>
      </c>
      <c r="D181" t="s">
        <v>3604</v>
      </c>
      <c r="E181" s="21">
        <v>6.5000000000000002E-2</v>
      </c>
      <c r="F181" s="1">
        <v>4.2</v>
      </c>
      <c r="G181" s="1">
        <v>2.2000000000000002</v>
      </c>
      <c r="H181" s="1">
        <v>-8.1999999999999993</v>
      </c>
      <c r="I181" s="1">
        <v>1.8</v>
      </c>
      <c r="J181" s="1">
        <v>-15</v>
      </c>
      <c r="K181" s="1">
        <v>-6.2</v>
      </c>
      <c r="L181" s="1">
        <v>20</v>
      </c>
      <c r="N181" s="1">
        <v>7.6</v>
      </c>
      <c r="O181" s="1">
        <v>2E-3</v>
      </c>
      <c r="Q181" s="118">
        <f t="shared" si="28"/>
        <v>0.51874873579414971</v>
      </c>
      <c r="R181" s="119">
        <f t="shared" si="29"/>
        <v>150.43713338030341</v>
      </c>
      <c r="S181" s="118">
        <f t="shared" si="39"/>
        <v>3.1306548835666947</v>
      </c>
      <c r="T181" s="118">
        <f t="shared" si="40"/>
        <v>13.630619860213955</v>
      </c>
      <c r="U181" s="118">
        <f t="shared" si="41"/>
        <v>-11.553122225554286</v>
      </c>
      <c r="V181" s="118">
        <f t="shared" si="42"/>
        <v>-12.099001310708299</v>
      </c>
      <c r="W181" s="118">
        <f t="shared" si="43"/>
        <v>-10.021503676048631</v>
      </c>
      <c r="X181" s="118">
        <f>IF(OR(N181="",R181=""),NA(),10*LOG10((G181+'CMOS FOM coeff. calculation'!$Q$3)^'CMOS FOM coeff. calculation'!$P$3*(1000*E181)^'CMOS FOM coeff. calculation'!$N$3*R181^'CMOS FOM coeff. calculation'!$O$3*N181^'CMOS FOM coeff. calculation'!$M$3))</f>
        <v>15.629447829804066</v>
      </c>
      <c r="Z181" s="4"/>
      <c r="AA181" s="3"/>
    </row>
    <row r="182" spans="1:27">
      <c r="A182" t="s">
        <v>3143</v>
      </c>
      <c r="B182" s="8" t="s">
        <v>3765</v>
      </c>
      <c r="C182" t="s">
        <v>3766</v>
      </c>
      <c r="D182" t="s">
        <v>3767</v>
      </c>
      <c r="E182" s="1">
        <v>4.4999999999999998E-2</v>
      </c>
      <c r="F182" s="1">
        <v>2</v>
      </c>
      <c r="G182" s="1">
        <v>8</v>
      </c>
      <c r="H182" s="1">
        <v>-10</v>
      </c>
      <c r="I182" s="1">
        <v>4.3</v>
      </c>
      <c r="J182" s="1">
        <v>-22.9</v>
      </c>
      <c r="L182" s="1">
        <v>24.1</v>
      </c>
      <c r="N182" s="1">
        <v>6.5</v>
      </c>
      <c r="O182" s="1">
        <v>0.85</v>
      </c>
      <c r="P182" s="1">
        <v>2</v>
      </c>
      <c r="Q182" s="118">
        <f>IF(OR(I182="",L182=""),"",(10^(I182/10)-1)*10^(L182/10)/(10^(L182/10)-1))</f>
        <v>1.6981413403667536</v>
      </c>
      <c r="R182" s="119">
        <f>IF(Q182="","",290*Q182)</f>
        <v>492.46098870635853</v>
      </c>
      <c r="S182" s="118">
        <f t="shared" si="39"/>
        <v>1.3131281247164943</v>
      </c>
      <c r="T182" s="118">
        <f t="shared" si="40"/>
        <v>16.94601610633692</v>
      </c>
      <c r="U182" s="118">
        <f t="shared" si="41"/>
        <v>-15.942582787456983</v>
      </c>
      <c r="V182" s="118">
        <f t="shared" si="42"/>
        <v>-17.782378620379561</v>
      </c>
      <c r="W182" s="118">
        <f t="shared" si="43"/>
        <v>-16.778945301499622</v>
      </c>
      <c r="X182" s="118">
        <f>IF(OR(N182="",R182=""),NA(),10*LOG10((G182+'CMOS FOM coeff. calculation'!$Q$3)^'CMOS FOM coeff. calculation'!$P$3*(1000*E182)^'CMOS FOM coeff. calculation'!$N$3*R182^'CMOS FOM coeff. calculation'!$O$3*N182^'CMOS FOM coeff. calculation'!$M$3))</f>
        <v>12.642373878033412</v>
      </c>
      <c r="Y182" s="68"/>
      <c r="Z182" s="66" t="s">
        <v>3768</v>
      </c>
      <c r="AA182" s="3"/>
    </row>
    <row r="183" spans="1:27">
      <c r="A183" t="s">
        <v>3143</v>
      </c>
      <c r="B183" s="8" t="s">
        <v>3747</v>
      </c>
      <c r="C183" t="s">
        <v>3748</v>
      </c>
      <c r="D183" s="7" t="s">
        <v>3749</v>
      </c>
      <c r="E183" s="1">
        <v>6.5000000000000002E-2</v>
      </c>
      <c r="F183" s="1">
        <v>33.700000000000003</v>
      </c>
      <c r="G183" s="1">
        <v>31.75</v>
      </c>
      <c r="H183" s="1">
        <v>-10</v>
      </c>
      <c r="I183" s="1">
        <v>2.7</v>
      </c>
      <c r="J183" s="1">
        <v>-10.6</v>
      </c>
      <c r="K183" s="1">
        <v>-0.7</v>
      </c>
      <c r="L183" s="1">
        <v>12</v>
      </c>
      <c r="M183" s="1">
        <v>0.6</v>
      </c>
      <c r="N183" s="1">
        <v>11.3</v>
      </c>
      <c r="O183" s="1">
        <v>0.154</v>
      </c>
      <c r="Q183" s="118">
        <f>IF(OR(I183="",L183=""),"",(10^(I183/10)-1)*10^(L183/10)/(10^(L183/10)-1))</f>
        <v>0.92014431821907194</v>
      </c>
      <c r="R183" s="119">
        <f>IF(Q183="","",290*Q183)</f>
        <v>266.84185228353084</v>
      </c>
      <c r="S183" s="118">
        <f t="shared" si="39"/>
        <v>1.2932879056072761</v>
      </c>
      <c r="T183" s="118">
        <f t="shared" si="40"/>
        <v>8.965018013005249</v>
      </c>
      <c r="U183" s="118">
        <f t="shared" si="41"/>
        <v>-3.8729183434341206</v>
      </c>
      <c r="V183" s="118">
        <f t="shared" si="42"/>
        <v>-13.151819058129883</v>
      </c>
      <c r="W183" s="118">
        <f t="shared" si="43"/>
        <v>-8.0597193885587544</v>
      </c>
      <c r="X183" s="118">
        <f>IF(OR(N183="",R183=""),NA(),10*LOG10((G183+'CMOS FOM coeff. calculation'!$Q$3)^'CMOS FOM coeff. calculation'!$P$3*(1000*E183)^'CMOS FOM coeff. calculation'!$N$3*R183^'CMOS FOM coeff. calculation'!$O$3*N183^'CMOS FOM coeff. calculation'!$M$3))</f>
        <v>21.99366140414844</v>
      </c>
      <c r="Y183" s="68"/>
      <c r="Z183" s="66" t="s">
        <v>3750</v>
      </c>
    </row>
    <row r="184" spans="1:27">
      <c r="A184" t="s">
        <v>3143</v>
      </c>
      <c r="B184" s="8" t="s">
        <v>3605</v>
      </c>
      <c r="C184" s="39" t="s">
        <v>3606</v>
      </c>
      <c r="D184" t="s">
        <v>3607</v>
      </c>
      <c r="E184" s="21">
        <v>6.5000000000000002E-2</v>
      </c>
      <c r="F184" s="1">
        <v>1.35</v>
      </c>
      <c r="G184" s="1">
        <v>2.0249999999999999</v>
      </c>
      <c r="I184" s="1">
        <v>4.4000000000000004</v>
      </c>
      <c r="K184" s="1">
        <v>5.8</v>
      </c>
      <c r="L184" s="1">
        <v>22.6</v>
      </c>
      <c r="M184" s="1">
        <v>1</v>
      </c>
      <c r="N184" s="1">
        <v>21.2</v>
      </c>
      <c r="O184" s="1">
        <v>0.77</v>
      </c>
      <c r="Q184" s="118">
        <f t="shared" si="28"/>
        <v>1.7639221766820743</v>
      </c>
      <c r="R184" s="119">
        <f t="shared" si="29"/>
        <v>511.53743123780157</v>
      </c>
      <c r="S184" s="118" t="str">
        <f t="shared" si="39"/>
        <v/>
      </c>
      <c r="T184" s="118">
        <f t="shared" si="40"/>
        <v>20.67090213459856</v>
      </c>
      <c r="U184" s="118">
        <f t="shared" si="41"/>
        <v>-20.236456239615205</v>
      </c>
      <c r="V184" s="118" t="e">
        <f t="shared" si="42"/>
        <v>#N/A</v>
      </c>
      <c r="W184" s="118" t="e">
        <f t="shared" si="43"/>
        <v>#N/A</v>
      </c>
      <c r="X184" s="118">
        <f>IF(OR(N184="",R184=""),NA(),10*LOG10((G184+'CMOS FOM coeff. calculation'!$Q$3)^'CMOS FOM coeff. calculation'!$P$3*(1000*E184)^'CMOS FOM coeff. calculation'!$N$3*R184^'CMOS FOM coeff. calculation'!$O$3*N184^'CMOS FOM coeff. calculation'!$M$3))</f>
        <v>9.86151911962917</v>
      </c>
      <c r="Z184" s="4" t="s">
        <v>3608</v>
      </c>
      <c r="AA184" s="3" t="s">
        <v>5</v>
      </c>
    </row>
    <row r="185" spans="1:27" ht="18">
      <c r="A185" t="s">
        <v>3143</v>
      </c>
      <c r="B185" s="8" t="s">
        <v>3799</v>
      </c>
      <c r="C185" t="s">
        <v>3800</v>
      </c>
      <c r="D185" t="s">
        <v>3801</v>
      </c>
      <c r="E185" s="21">
        <v>2.8000000000000001E-2</v>
      </c>
      <c r="F185" s="1">
        <v>43.5</v>
      </c>
      <c r="G185" s="1">
        <v>22.25</v>
      </c>
      <c r="H185" s="1">
        <v>-10</v>
      </c>
      <c r="I185" s="1">
        <v>2.5</v>
      </c>
      <c r="J185" s="1">
        <v>-20</v>
      </c>
      <c r="K185" s="1">
        <v>-12</v>
      </c>
      <c r="L185" s="1">
        <v>23</v>
      </c>
      <c r="M185" s="1">
        <v>1.1000000000000001</v>
      </c>
      <c r="N185" s="1">
        <v>20.5</v>
      </c>
      <c r="O185" s="1">
        <v>0.14000000000000001</v>
      </c>
      <c r="Q185" s="118">
        <f t="shared" si="28"/>
        <v>0.78219969505199505</v>
      </c>
      <c r="R185" s="119">
        <f t="shared" si="29"/>
        <v>226.83791156507857</v>
      </c>
      <c r="S185" s="118">
        <f t="shared" si="39"/>
        <v>1.9852623149688802</v>
      </c>
      <c r="T185" s="118">
        <f t="shared" si="40"/>
        <v>15.028048773199615</v>
      </c>
      <c r="U185" s="118">
        <f t="shared" si="41"/>
        <v>-9.5664179166841574</v>
      </c>
      <c r="V185" s="118">
        <f t="shared" si="42"/>
        <v>-17.722795469867101</v>
      </c>
      <c r="W185" s="118">
        <f t="shared" si="43"/>
        <v>-12.261164613351644</v>
      </c>
      <c r="X185" s="118">
        <f>IF(OR(N185="",R185=""),NA(),10*LOG10((G185+'CMOS FOM coeff. calculation'!$Q$3)^'CMOS FOM coeff. calculation'!$P$3*(1000*E185)^'CMOS FOM coeff. calculation'!$N$3*R185^'CMOS FOM coeff. calculation'!$O$3*N185^'CMOS FOM coeff. calculation'!$M$3))</f>
        <v>17.539108388552563</v>
      </c>
      <c r="Z185" s="4" t="s">
        <v>3802</v>
      </c>
      <c r="AA185" s="3"/>
    </row>
    <row r="186" spans="1:27" ht="18">
      <c r="A186" t="s">
        <v>3143</v>
      </c>
      <c r="B186" s="8" t="s">
        <v>3803</v>
      </c>
      <c r="C186" t="s">
        <v>3804</v>
      </c>
      <c r="D186" t="s">
        <v>3805</v>
      </c>
      <c r="E186" s="21">
        <v>0.04</v>
      </c>
      <c r="F186" s="1">
        <v>26.4</v>
      </c>
      <c r="G186" s="1">
        <v>60.2</v>
      </c>
      <c r="H186" s="1">
        <v>-10</v>
      </c>
      <c r="I186" s="1">
        <v>3.5</v>
      </c>
      <c r="J186" s="1">
        <v>-14.5</v>
      </c>
      <c r="L186" s="1">
        <v>23.1</v>
      </c>
      <c r="M186" s="1">
        <v>1.1000000000000001</v>
      </c>
      <c r="N186" s="1">
        <v>33</v>
      </c>
      <c r="O186" s="1">
        <v>7.5999999999999998E-2</v>
      </c>
      <c r="Q186" s="118">
        <f t="shared" si="28"/>
        <v>1.2448179934398953</v>
      </c>
      <c r="R186" s="119">
        <f t="shared" si="29"/>
        <v>360.99721809756966</v>
      </c>
      <c r="S186" s="118">
        <f t="shared" si="39"/>
        <v>7.2088782618265475</v>
      </c>
      <c r="T186" s="118">
        <f t="shared" si="40"/>
        <v>12.78799521293498</v>
      </c>
      <c r="U186" s="118">
        <f t="shared" si="41"/>
        <v>-8.0493154567022103</v>
      </c>
      <c r="V186" s="118">
        <f t="shared" si="42"/>
        <v>-16.262337649336082</v>
      </c>
      <c r="W186" s="118">
        <f t="shared" si="43"/>
        <v>-11.523657893103312</v>
      </c>
      <c r="X186" s="118">
        <f>IF(OR(N186="",R186=""),NA(),10*LOG10((G186+'CMOS FOM coeff. calculation'!$Q$3)^'CMOS FOM coeff. calculation'!$P$3*(1000*E186)^'CMOS FOM coeff. calculation'!$N$3*R186^'CMOS FOM coeff. calculation'!$O$3*N186^'CMOS FOM coeff. calculation'!$M$3))</f>
        <v>22.591316073876612</v>
      </c>
      <c r="Z186" s="4" t="s">
        <v>3806</v>
      </c>
      <c r="AA186" s="3"/>
    </row>
    <row r="187" spans="1:27">
      <c r="A187" t="s">
        <v>3773</v>
      </c>
      <c r="B187" s="8" t="s">
        <v>3816</v>
      </c>
      <c r="C187" s="39" t="s">
        <v>3817</v>
      </c>
      <c r="D187" t="s">
        <v>3818</v>
      </c>
      <c r="E187" s="21">
        <v>6.5000000000000002E-2</v>
      </c>
      <c r="F187" s="1">
        <v>75</v>
      </c>
      <c r="G187" s="1">
        <v>40.5</v>
      </c>
      <c r="H187" s="1">
        <v>-6</v>
      </c>
      <c r="I187" s="1">
        <v>5.5</v>
      </c>
      <c r="J187" s="1">
        <v>-13</v>
      </c>
      <c r="L187" s="1">
        <v>16.899999999999999</v>
      </c>
      <c r="M187" s="1">
        <v>1.2</v>
      </c>
      <c r="N187" s="1">
        <v>170.4</v>
      </c>
      <c r="P187" s="1">
        <v>1.33</v>
      </c>
      <c r="Q187" s="118">
        <f t="shared" si="28"/>
        <v>2.6012444880825618</v>
      </c>
      <c r="R187" s="119">
        <f t="shared" si="29"/>
        <v>754.36090154394287</v>
      </c>
      <c r="S187" s="118">
        <f t="shared" si="39"/>
        <v>2.4045901923223028</v>
      </c>
      <c r="T187" s="118">
        <f t="shared" si="40"/>
        <v>16.701498787805985</v>
      </c>
      <c r="U187" s="118">
        <f t="shared" si="41"/>
        <v>-10.451294576500318</v>
      </c>
      <c r="V187" s="118">
        <f t="shared" si="42"/>
        <v>-24.270821784083509</v>
      </c>
      <c r="W187" s="118">
        <f t="shared" si="43"/>
        <v>-18.020617572777844</v>
      </c>
      <c r="X187" s="118">
        <f>IF(OR(N187="",R187=""),NA(),10*LOG10((G187+'CMOS FOM coeff. calculation'!$Q$3)^'CMOS FOM coeff. calculation'!$P$3*(1000*E187)^'CMOS FOM coeff. calculation'!$N$3*R187^'CMOS FOM coeff. calculation'!$O$3*N187^'CMOS FOM coeff. calculation'!$M$3))</f>
        <v>17.088988304481013</v>
      </c>
      <c r="Z187" s="4" t="s">
        <v>3819</v>
      </c>
      <c r="AA187" s="3"/>
    </row>
    <row r="188" spans="1:27" ht="18">
      <c r="A188" t="s">
        <v>3779</v>
      </c>
      <c r="B188" s="8" t="s">
        <v>3824</v>
      </c>
      <c r="C188" s="39" t="s">
        <v>3825</v>
      </c>
      <c r="D188" t="s">
        <v>3826</v>
      </c>
      <c r="E188" s="21">
        <v>6.5000000000000002E-2</v>
      </c>
      <c r="F188" s="1">
        <v>8.5</v>
      </c>
      <c r="G188" s="1">
        <v>26.05</v>
      </c>
      <c r="H188" s="1">
        <v>-5</v>
      </c>
      <c r="I188" s="1">
        <v>3.6</v>
      </c>
      <c r="K188" s="1">
        <v>-18.5</v>
      </c>
      <c r="L188" s="1">
        <v>26.4</v>
      </c>
      <c r="M188" s="1">
        <v>1.2</v>
      </c>
      <c r="N188" s="1">
        <v>19.2</v>
      </c>
      <c r="O188" s="1">
        <v>0.1</v>
      </c>
      <c r="Q188" s="118">
        <f t="shared" ref="Q188:Q190" si="44">IF(OR(I188="",L188=""),"",(10^(I188/10)-1)*10^(L188/10)/(10^(L188/10)-1))</f>
        <v>1.2938316498425246</v>
      </c>
      <c r="R188" s="119">
        <f t="shared" ref="R188:R190" si="45">IF(Q188="","",290*Q188)</f>
        <v>375.21117845433213</v>
      </c>
      <c r="S188" s="118" t="str">
        <f t="shared" ref="S188:S189" si="46">IF(OR(J188="",L188=""),"",10^(J188/10)*(10^(L188/10)-1))</f>
        <v/>
      </c>
      <c r="T188" s="118">
        <f t="shared" ref="T188:T189" si="47">IF(OR(Q188="",N188="",E188="",G188=""),NA(),10*LOG10(Q188*N188^(1/3)*E188^(-4/3)*G188^(-2/3)))</f>
        <v>11.785552196442527</v>
      </c>
      <c r="U188" s="118">
        <f t="shared" ref="U188:U189" si="48">IF(OR(ISNA(T188),F188=""),NA(),10*LOG10(F188^(1/3))-T188)</f>
        <v>-8.6874891107282188</v>
      </c>
      <c r="V188" s="118" t="e">
        <f t="shared" ref="V188:V189" si="49">IF(OR(ISNA(T188),S188=""),NA(),10*LOG10(S188^(1/3)*E188*G188^(1/3)/Q188/N188^(2/3)))</f>
        <v>#N/A</v>
      </c>
      <c r="W188" s="118" t="e">
        <f t="shared" ref="W188:W189" si="50">IF(OR(ISNA(V188),F188=""),NA(),V188+10*LOG10(F188^(1/3)))</f>
        <v>#N/A</v>
      </c>
      <c r="X188" s="118">
        <f>IF(OR(N188="",R188=""),NA(),10*LOG10((G188+'CMOS FOM coeff. calculation'!$Q$3)^'CMOS FOM coeff. calculation'!$P$3*(1000*E188)^'CMOS FOM coeff. calculation'!$N$3*R188^'CMOS FOM coeff. calculation'!$O$3*N188^'CMOS FOM coeff. calculation'!$M$3))</f>
        <v>19.050626815864881</v>
      </c>
      <c r="Z188" s="4" t="s">
        <v>3827</v>
      </c>
      <c r="AA188" s="3"/>
    </row>
    <row r="189" spans="1:27">
      <c r="C189" s="39"/>
      <c r="E189" s="21">
        <v>6.5000000000000002E-2</v>
      </c>
      <c r="F189" s="1">
        <v>12.5</v>
      </c>
      <c r="G189" s="1">
        <v>38.85</v>
      </c>
      <c r="H189" s="1">
        <v>-5</v>
      </c>
      <c r="I189" s="1">
        <v>3.8</v>
      </c>
      <c r="K189" s="1">
        <v>-16.399999999999999</v>
      </c>
      <c r="L189" s="1">
        <v>25.5</v>
      </c>
      <c r="M189" s="1">
        <v>1.2</v>
      </c>
      <c r="N189" s="1">
        <v>19.2</v>
      </c>
      <c r="O189" s="1">
        <v>0.1</v>
      </c>
      <c r="Q189" s="118">
        <f t="shared" si="44"/>
        <v>1.4027865085714566</v>
      </c>
      <c r="R189" s="119">
        <f t="shared" si="45"/>
        <v>406.80808748572241</v>
      </c>
      <c r="S189" s="118" t="str">
        <f t="shared" si="46"/>
        <v/>
      </c>
      <c r="T189" s="118">
        <f t="shared" si="47"/>
        <v>10.979468323150947</v>
      </c>
      <c r="U189" s="118">
        <f t="shared" si="48"/>
        <v>-7.3231016131240914</v>
      </c>
      <c r="V189" s="118" t="e">
        <f t="shared" si="49"/>
        <v>#N/A</v>
      </c>
      <c r="W189" s="118" t="e">
        <f t="shared" si="50"/>
        <v>#N/A</v>
      </c>
      <c r="X189" s="118">
        <f>IF(OR(N189="",R189=""),NA(),10*LOG10((G189+'CMOS FOM coeff. calculation'!$Q$3)^'CMOS FOM coeff. calculation'!$P$3*(1000*E189)^'CMOS FOM coeff. calculation'!$N$3*R189^'CMOS FOM coeff. calculation'!$O$3*N189^'CMOS FOM coeff. calculation'!$M$3))</f>
        <v>21.132992599488404</v>
      </c>
      <c r="Z189" s="4"/>
      <c r="AA189" s="3"/>
    </row>
    <row r="190" spans="1:27">
      <c r="A190" t="s">
        <v>3779</v>
      </c>
      <c r="B190" s="8" t="s">
        <v>3828</v>
      </c>
      <c r="C190" t="s">
        <v>3829</v>
      </c>
      <c r="E190" s="21">
        <v>6.5000000000000002E-2</v>
      </c>
      <c r="F190" s="1">
        <v>12</v>
      </c>
      <c r="G190" s="1">
        <v>60</v>
      </c>
      <c r="H190" s="1">
        <v>-10</v>
      </c>
      <c r="I190" s="1">
        <v>6.4</v>
      </c>
      <c r="L190" s="1">
        <v>15.9</v>
      </c>
      <c r="M190" s="1">
        <v>1</v>
      </c>
      <c r="P190" s="1">
        <v>0.73</v>
      </c>
      <c r="Q190" s="118">
        <f t="shared" si="44"/>
        <v>3.4539382043456022</v>
      </c>
      <c r="R190" s="119">
        <f t="shared" si="45"/>
        <v>1001.6420792602246</v>
      </c>
      <c r="S190" s="118" t="str">
        <f t="shared" ref="S190" si="51">IF(OR(J190="",L190=""),"",10^(J190/10)*(10^(L190/10)-1))</f>
        <v/>
      </c>
      <c r="T190" s="118" t="e">
        <f t="shared" ref="T190" si="52">IF(OR(Q190="",N190="",E190="",G190=""),NA(),10*LOG10(Q190*N190^(1/3)*E190^(-4/3)*G190^(-2/3)))</f>
        <v>#N/A</v>
      </c>
      <c r="U190" s="118" t="e">
        <f t="shared" ref="U190" si="53">IF(OR(ISNA(T190),F190=""),NA(),10*LOG10(F190^(1/3))-T190)</f>
        <v>#N/A</v>
      </c>
      <c r="V190" s="118" t="e">
        <f t="shared" ref="V190" si="54">IF(OR(ISNA(T190),S190=""),NA(),10*LOG10(S190^(1/3)*E190*G190^(1/3)/Q190/N190^(2/3)))</f>
        <v>#N/A</v>
      </c>
      <c r="W190" s="118" t="e">
        <f t="shared" ref="W190" si="55">IF(OR(ISNA(V190),F190=""),NA(),V190+10*LOG10(F190^(1/3)))</f>
        <v>#N/A</v>
      </c>
      <c r="X190" s="118" t="e">
        <f>IF(OR(N190="",R190=""),NA(),10*LOG10((G190+'CMOS FOM coeff. calculation'!$Q$3)^'CMOS FOM coeff. calculation'!$P$3*(1000*E190)^'CMOS FOM coeff. calculation'!$N$3*R190^'CMOS FOM coeff. calculation'!$O$3*N190^'CMOS FOM coeff. calculation'!$M$3))</f>
        <v>#N/A</v>
      </c>
      <c r="Z190" s="4" t="s">
        <v>3830</v>
      </c>
      <c r="AA190" s="3"/>
    </row>
    <row r="191" spans="1:27" ht="15.75">
      <c r="A191" s="45" t="s">
        <v>415</v>
      </c>
      <c r="B191" s="44"/>
      <c r="C191" s="44"/>
      <c r="D191" s="44"/>
      <c r="E191" s="113"/>
      <c r="F191" s="111"/>
      <c r="G191" s="111"/>
      <c r="H191" s="111"/>
      <c r="I191" s="111"/>
      <c r="J191" s="111"/>
      <c r="K191" s="111"/>
      <c r="L191" s="111"/>
      <c r="M191" s="111"/>
      <c r="N191" s="111"/>
      <c r="O191" s="111"/>
      <c r="P191" s="111"/>
      <c r="Q191" s="120"/>
      <c r="R191" s="120"/>
      <c r="S191" s="120"/>
      <c r="T191" s="120"/>
      <c r="U191" s="120"/>
      <c r="V191" s="120"/>
      <c r="W191" s="120"/>
      <c r="X191" s="120"/>
      <c r="Y191" s="44"/>
      <c r="Z191" s="44"/>
      <c r="AA191" s="3" t="s">
        <v>5</v>
      </c>
    </row>
    <row r="192" spans="1:27">
      <c r="A192" t="s">
        <v>1913</v>
      </c>
      <c r="B192" t="s">
        <v>1914</v>
      </c>
      <c r="C192" t="s">
        <v>3086</v>
      </c>
      <c r="D192" s="7" t="s">
        <v>1915</v>
      </c>
      <c r="E192" s="6">
        <v>0.2</v>
      </c>
      <c r="F192" s="1">
        <v>1.5</v>
      </c>
      <c r="G192" s="1">
        <v>1.75</v>
      </c>
      <c r="I192" s="1">
        <v>3.5</v>
      </c>
      <c r="J192" s="1">
        <v>-4</v>
      </c>
      <c r="L192" s="1">
        <v>10</v>
      </c>
      <c r="M192" s="1">
        <v>1</v>
      </c>
      <c r="N192" s="1">
        <v>10</v>
      </c>
      <c r="Q192" s="118">
        <f t="shared" ref="Q192:Q223" si="56">IF(OR(I192="",L192=""),"",(10^(I192/10)-1)*10^(L192/10)/(10^(L192/10)-1))</f>
        <v>1.3763568206314882</v>
      </c>
      <c r="R192" s="119">
        <f t="shared" ref="R192:R223" si="57">IF(Q192="","",290*Q192)</f>
        <v>399.14347798313156</v>
      </c>
      <c r="S192" s="118">
        <f t="shared" ref="S192:S223" si="58">IF(OR(J192="",L192=""),"",10^(J192/10)*(10^(L192/10)-1))</f>
        <v>3.5829645349814747</v>
      </c>
      <c r="T192" s="118">
        <f t="shared" ref="T192:T223" si="59">IF(OR(Q192="",N192="",E192="",G192=""),NA(),10*LOG10(Q192*N192^(1/3)*E192^(-4/3)*G192^(-2/3)))</f>
        <v>12.419990127045518</v>
      </c>
      <c r="U192" s="118">
        <f t="shared" ref="U192:U223" si="60">IF(OR(ISNA(T192),F192=""),NA(),10*LOG10(F192^(1/3))-T192)</f>
        <v>-11.83301926352658</v>
      </c>
      <c r="V192" s="118">
        <f t="shared" ref="V192:V223" si="61">IF(OR(ISNA(T192),S192=""),NA(),10*LOG10(S192^(1/3)*E192*G192^(1/3)/Q192/N192^(2/3)))</f>
        <v>-12.386075243415355</v>
      </c>
      <c r="W192" s="118">
        <f t="shared" ref="W192:W223" si="62">IF(OR(ISNA(V192),F192=""),NA(),V192+10*LOG10(F192^(1/3)))</f>
        <v>-11.799104379896418</v>
      </c>
      <c r="X192" s="118">
        <f>IF(OR(N192="",R192=""),NA(),10*LOG10((G192+'CMOS FOM coeff. calculation'!$Q$3)^'CMOS FOM coeff. calculation'!$P$3*(1000*E192)^'CMOS FOM coeff. calculation'!$N$3*R192^'CMOS FOM coeff. calculation'!$O$3*N192^'CMOS FOM coeff. calculation'!$M$3))</f>
        <v>14.752262381994752</v>
      </c>
      <c r="Y192" s="68"/>
      <c r="Z192" t="s">
        <v>1916</v>
      </c>
      <c r="AA192" s="3" t="s">
        <v>5</v>
      </c>
    </row>
    <row r="193" spans="1:27">
      <c r="A193" t="s">
        <v>1917</v>
      </c>
      <c r="B193" t="s">
        <v>1918</v>
      </c>
      <c r="C193" t="s">
        <v>1919</v>
      </c>
      <c r="D193" s="7" t="s">
        <v>1920</v>
      </c>
      <c r="E193" s="1">
        <v>0.8</v>
      </c>
      <c r="G193" s="1">
        <v>0.19400000000000001</v>
      </c>
      <c r="I193" s="1">
        <v>3.7</v>
      </c>
      <c r="J193" s="1">
        <v>-37</v>
      </c>
      <c r="K193" s="1">
        <v>-20</v>
      </c>
      <c r="L193" s="1">
        <v>17.600000000000001</v>
      </c>
      <c r="O193" s="1">
        <v>1.6875000000000001E-2</v>
      </c>
      <c r="Q193" s="118">
        <f t="shared" si="56"/>
        <v>1.3680019648015511</v>
      </c>
      <c r="R193" s="119">
        <f t="shared" si="57"/>
        <v>396.72056979244985</v>
      </c>
      <c r="S193" s="118">
        <f t="shared" si="58"/>
        <v>1.1282009983471928E-2</v>
      </c>
      <c r="T193" s="118" t="e">
        <f t="shared" si="59"/>
        <v>#N/A</v>
      </c>
      <c r="U193" s="118" t="e">
        <f t="shared" si="60"/>
        <v>#N/A</v>
      </c>
      <c r="V193" s="118" t="e">
        <f t="shared" si="61"/>
        <v>#N/A</v>
      </c>
      <c r="W193" s="118" t="e">
        <f t="shared" si="62"/>
        <v>#N/A</v>
      </c>
      <c r="X193" s="118" t="e">
        <f>IF(OR(N193="",R193=""),NA(),10*LOG10((G193+'CMOS FOM coeff. calculation'!$Q$3)^'CMOS FOM coeff. calculation'!$P$3*(1000*E193)^'CMOS FOM coeff. calculation'!$N$3*R193^'CMOS FOM coeff. calculation'!$O$3*N193^'CMOS FOM coeff. calculation'!$M$3))</f>
        <v>#N/A</v>
      </c>
      <c r="Y193" s="68"/>
      <c r="Z193" t="s">
        <v>1921</v>
      </c>
      <c r="AA193" s="3" t="s">
        <v>5</v>
      </c>
    </row>
    <row r="194" spans="1:27">
      <c r="A194" t="s">
        <v>1922</v>
      </c>
      <c r="B194" t="s">
        <v>1923</v>
      </c>
      <c r="C194" t="s">
        <v>1924</v>
      </c>
      <c r="D194" s="7" t="s">
        <v>1925</v>
      </c>
      <c r="E194" s="6">
        <v>0.35</v>
      </c>
      <c r="F194" s="1">
        <v>0.2</v>
      </c>
      <c r="G194" s="1">
        <v>0.9</v>
      </c>
      <c r="H194" s="1">
        <v>-8</v>
      </c>
      <c r="I194" s="1">
        <v>2.0499999999999998</v>
      </c>
      <c r="K194" s="1">
        <v>-6</v>
      </c>
      <c r="L194" s="1">
        <v>17.5</v>
      </c>
      <c r="M194" s="1">
        <v>2.7</v>
      </c>
      <c r="N194" s="1">
        <v>21.6</v>
      </c>
      <c r="Q194" s="118">
        <f t="shared" si="56"/>
        <v>0.61416699592177293</v>
      </c>
      <c r="R194" s="119">
        <f t="shared" si="57"/>
        <v>178.10842881731415</v>
      </c>
      <c r="S194" s="118" t="str">
        <f t="shared" si="58"/>
        <v/>
      </c>
      <c r="T194" s="118">
        <f t="shared" si="59"/>
        <v>8.7151865959394748</v>
      </c>
      <c r="U194" s="118">
        <f t="shared" si="60"/>
        <v>-11.04508661039287</v>
      </c>
      <c r="V194" s="118" t="e">
        <f t="shared" si="61"/>
        <v>#N/A</v>
      </c>
      <c r="W194" s="118" t="e">
        <f t="shared" si="62"/>
        <v>#N/A</v>
      </c>
      <c r="X194" s="118">
        <f>IF(OR(N194="",R194=""),NA(),10*LOG10((G194+'CMOS FOM coeff. calculation'!$Q$3)^'CMOS FOM coeff. calculation'!$P$3*(1000*E194)^'CMOS FOM coeff. calculation'!$N$3*R194^'CMOS FOM coeff. calculation'!$O$3*N194^'CMOS FOM coeff. calculation'!$M$3))</f>
        <v>18.462947501190854</v>
      </c>
      <c r="Y194" s="68"/>
      <c r="Z194" t="s">
        <v>1926</v>
      </c>
      <c r="AA194" s="3" t="s">
        <v>5</v>
      </c>
    </row>
    <row r="195" spans="1:27">
      <c r="A195" t="s">
        <v>1922</v>
      </c>
      <c r="B195" t="s">
        <v>1927</v>
      </c>
      <c r="C195" t="s">
        <v>1928</v>
      </c>
      <c r="D195" s="7" t="s">
        <v>1929</v>
      </c>
      <c r="E195" s="1">
        <v>0.5</v>
      </c>
      <c r="F195" s="1">
        <v>0.55000000000000004</v>
      </c>
      <c r="G195" s="1">
        <v>1.9750000000000001</v>
      </c>
      <c r="H195" s="1">
        <v>-10</v>
      </c>
      <c r="I195" s="1">
        <v>1.6</v>
      </c>
      <c r="L195" s="1">
        <v>15</v>
      </c>
      <c r="M195" s="1">
        <v>1</v>
      </c>
      <c r="N195" s="1">
        <v>25</v>
      </c>
      <c r="Q195" s="118">
        <f t="shared" si="56"/>
        <v>0.45998579890463576</v>
      </c>
      <c r="R195" s="119">
        <f t="shared" si="57"/>
        <v>133.39588168234437</v>
      </c>
      <c r="S195" s="118" t="str">
        <f t="shared" si="58"/>
        <v/>
      </c>
      <c r="T195" s="118">
        <f t="shared" si="59"/>
        <v>3.3305302109296013</v>
      </c>
      <c r="U195" s="118">
        <f t="shared" si="60"/>
        <v>-4.1959879126154549</v>
      </c>
      <c r="V195" s="118" t="e">
        <f t="shared" si="61"/>
        <v>#N/A</v>
      </c>
      <c r="W195" s="118" t="e">
        <f t="shared" si="62"/>
        <v>#N/A</v>
      </c>
      <c r="X195" s="118">
        <f>IF(OR(N195="",R195=""),NA(),10*LOG10((G195+'CMOS FOM coeff. calculation'!$Q$3)^'CMOS FOM coeff. calculation'!$P$3*(1000*E195)^'CMOS FOM coeff. calculation'!$N$3*R195^'CMOS FOM coeff. calculation'!$O$3*N195^'CMOS FOM coeff. calculation'!$M$3))</f>
        <v>21.147514003104583</v>
      </c>
      <c r="Y195" s="68"/>
      <c r="Z195" t="s">
        <v>1930</v>
      </c>
      <c r="AA195" s="3" t="s">
        <v>5</v>
      </c>
    </row>
    <row r="196" spans="1:27">
      <c r="A196" s="49" t="s">
        <v>1826</v>
      </c>
      <c r="B196" t="s">
        <v>421</v>
      </c>
      <c r="C196" t="s">
        <v>422</v>
      </c>
      <c r="D196" s="7" t="s">
        <v>424</v>
      </c>
      <c r="E196" s="6">
        <v>0.18</v>
      </c>
      <c r="F196" s="1">
        <v>0.7</v>
      </c>
      <c r="G196" s="1">
        <v>2.4</v>
      </c>
      <c r="H196" s="1">
        <v>-10</v>
      </c>
      <c r="I196" s="1">
        <v>4.5</v>
      </c>
      <c r="L196" s="1">
        <v>7.5</v>
      </c>
      <c r="M196" s="1">
        <v>1.8</v>
      </c>
      <c r="N196" s="1">
        <v>14.4</v>
      </c>
      <c r="O196" s="1">
        <v>0.8</v>
      </c>
      <c r="Q196" s="118">
        <f t="shared" si="56"/>
        <v>2.2116817415137464</v>
      </c>
      <c r="R196" s="119">
        <f t="shared" si="57"/>
        <v>641.3877050389865</v>
      </c>
      <c r="S196" s="118" t="str">
        <f t="shared" si="58"/>
        <v/>
      </c>
      <c r="T196" s="118">
        <f t="shared" si="59"/>
        <v>14.70339295399784</v>
      </c>
      <c r="U196" s="118">
        <f t="shared" si="60"/>
        <v>-15.219732820616985</v>
      </c>
      <c r="V196" s="118" t="e">
        <f t="shared" si="61"/>
        <v>#N/A</v>
      </c>
      <c r="W196" s="118" t="e">
        <f t="shared" si="62"/>
        <v>#N/A</v>
      </c>
      <c r="X196" s="118">
        <f>IF(OR(N196="",R196=""),NA(),10*LOG10((G196+'CMOS FOM coeff. calculation'!$Q$3)^'CMOS FOM coeff. calculation'!$P$3*(1000*E196)^'CMOS FOM coeff. calculation'!$N$3*R196^'CMOS FOM coeff. calculation'!$O$3*N196^'CMOS FOM coeff. calculation'!$M$3))</f>
        <v>12.608258637421519</v>
      </c>
      <c r="Y196" s="68"/>
      <c r="Z196" t="s">
        <v>423</v>
      </c>
      <c r="AA196" s="3" t="s">
        <v>242</v>
      </c>
    </row>
    <row r="197" spans="1:27">
      <c r="A197" s="49" t="s">
        <v>1931</v>
      </c>
      <c r="B197" s="14" t="s">
        <v>1932</v>
      </c>
      <c r="C197" t="s">
        <v>1933</v>
      </c>
      <c r="D197" s="7" t="s">
        <v>1934</v>
      </c>
      <c r="E197" s="6">
        <v>0.35</v>
      </c>
      <c r="F197" s="1">
        <v>0.85</v>
      </c>
      <c r="G197" s="1">
        <v>0.47499999999999998</v>
      </c>
      <c r="H197" s="1">
        <v>-12</v>
      </c>
      <c r="I197" s="1">
        <v>4.3</v>
      </c>
      <c r="J197" s="1">
        <v>-8</v>
      </c>
      <c r="K197" s="1">
        <v>14.5</v>
      </c>
      <c r="L197" s="1">
        <v>11</v>
      </c>
      <c r="M197" s="1">
        <v>3.3</v>
      </c>
      <c r="N197" s="1">
        <v>4.95</v>
      </c>
      <c r="O197" s="1">
        <v>0.06</v>
      </c>
      <c r="Q197" s="118">
        <f t="shared" si="56"/>
        <v>1.8374919800067986</v>
      </c>
      <c r="R197" s="119">
        <f t="shared" si="57"/>
        <v>532.87267420197156</v>
      </c>
      <c r="S197" s="118">
        <f t="shared" si="58"/>
        <v>1.8367729957227692</v>
      </c>
      <c r="T197" s="118">
        <f t="shared" si="59"/>
        <v>13.192073863150249</v>
      </c>
      <c r="U197" s="118">
        <f t="shared" si="60"/>
        <v>-13.427344110769273</v>
      </c>
      <c r="V197" s="118">
        <f t="shared" si="61"/>
        <v>-12.029778420320179</v>
      </c>
      <c r="W197" s="118">
        <f t="shared" si="62"/>
        <v>-12.265048667939203</v>
      </c>
      <c r="X197" s="118">
        <f>IF(OR(N197="",R197=""),NA(),10*LOG10((G197+'CMOS FOM coeff. calculation'!$Q$3)^'CMOS FOM coeff. calculation'!$P$3*(1000*E197)^'CMOS FOM coeff. calculation'!$N$3*R197^'CMOS FOM coeff. calculation'!$O$3*N197^'CMOS FOM coeff. calculation'!$M$3))</f>
        <v>15.2112170599002</v>
      </c>
      <c r="Y197" s="68"/>
      <c r="Z197" t="s">
        <v>1935</v>
      </c>
    </row>
    <row r="198" spans="1:27">
      <c r="A198" s="50" t="s">
        <v>1931</v>
      </c>
      <c r="B198" s="14" t="s">
        <v>1936</v>
      </c>
      <c r="C198" t="s">
        <v>1937</v>
      </c>
      <c r="D198" s="7" t="s">
        <v>1938</v>
      </c>
      <c r="E198" s="6">
        <v>0.35</v>
      </c>
      <c r="G198" s="1">
        <v>0.9</v>
      </c>
      <c r="H198" s="1">
        <v>-7.5</v>
      </c>
      <c r="I198" s="1">
        <v>1.2</v>
      </c>
      <c r="K198" s="1">
        <v>-3</v>
      </c>
      <c r="L198" s="1">
        <v>10</v>
      </c>
      <c r="M198" s="1">
        <v>1.8</v>
      </c>
      <c r="N198" s="1">
        <v>4.95</v>
      </c>
      <c r="O198" s="1">
        <v>0.66</v>
      </c>
      <c r="Q198" s="118">
        <f t="shared" si="56"/>
        <v>0.35361859839600807</v>
      </c>
      <c r="R198" s="119">
        <f t="shared" si="57"/>
        <v>102.54939353484234</v>
      </c>
      <c r="S198" s="118" t="str">
        <f t="shared" si="58"/>
        <v/>
      </c>
      <c r="T198" s="118">
        <f t="shared" si="59"/>
        <v>4.1848443266402855</v>
      </c>
      <c r="U198" s="118" t="e">
        <f t="shared" si="60"/>
        <v>#N/A</v>
      </c>
      <c r="V198" s="118" t="e">
        <f t="shared" si="61"/>
        <v>#N/A</v>
      </c>
      <c r="W198" s="118" t="e">
        <f t="shared" si="62"/>
        <v>#N/A</v>
      </c>
      <c r="X198" s="118">
        <f>IF(OR(N198="",R198=""),NA(),10*LOG10((G198+'CMOS FOM coeff. calculation'!$Q$3)^'CMOS FOM coeff. calculation'!$P$3*(1000*E198)^'CMOS FOM coeff. calculation'!$N$3*R198^'CMOS FOM coeff. calculation'!$O$3*N198^'CMOS FOM coeff. calculation'!$M$3))</f>
        <v>21.900406991342763</v>
      </c>
      <c r="Y198" s="68"/>
      <c r="Z198" t="s">
        <v>1939</v>
      </c>
    </row>
    <row r="199" spans="1:27" ht="16.5" customHeight="1">
      <c r="E199" s="6">
        <v>0.35</v>
      </c>
      <c r="G199" s="1">
        <v>0.9</v>
      </c>
      <c r="H199" s="1">
        <v>-8.5</v>
      </c>
      <c r="I199" s="1">
        <v>1</v>
      </c>
      <c r="K199" s="1">
        <v>-1.5</v>
      </c>
      <c r="L199" s="1">
        <v>13</v>
      </c>
      <c r="M199" s="1">
        <v>1.8</v>
      </c>
      <c r="N199" s="1">
        <v>8.5500000000000007</v>
      </c>
      <c r="O199" s="1">
        <v>0.66</v>
      </c>
      <c r="Q199" s="118">
        <f t="shared" si="56"/>
        <v>0.2725871307947067</v>
      </c>
      <c r="R199" s="119">
        <f t="shared" si="57"/>
        <v>79.05026793046494</v>
      </c>
      <c r="S199" s="118" t="str">
        <f t="shared" si="58"/>
        <v/>
      </c>
      <c r="T199" s="118">
        <f t="shared" si="59"/>
        <v>3.8457498783848294</v>
      </c>
      <c r="U199" s="118" t="e">
        <f t="shared" si="60"/>
        <v>#N/A</v>
      </c>
      <c r="V199" s="118" t="e">
        <f t="shared" si="61"/>
        <v>#N/A</v>
      </c>
      <c r="W199" s="118" t="e">
        <f t="shared" si="62"/>
        <v>#N/A</v>
      </c>
      <c r="X199" s="118">
        <f>IF(OR(N199="",R199=""),NA(),10*LOG10((G199+'CMOS FOM coeff. calculation'!$Q$3)^'CMOS FOM coeff. calculation'!$P$3*(1000*E199)^'CMOS FOM coeff. calculation'!$N$3*R199^'CMOS FOM coeff. calculation'!$O$3*N199^'CMOS FOM coeff. calculation'!$M$3))</f>
        <v>22.442952910567282</v>
      </c>
      <c r="Y199" s="68"/>
      <c r="AA199" s="3" t="s">
        <v>5</v>
      </c>
    </row>
    <row r="200" spans="1:27">
      <c r="E200" s="6">
        <v>0.35</v>
      </c>
      <c r="F200" s="1">
        <v>0.04</v>
      </c>
      <c r="G200" s="1">
        <v>0.9</v>
      </c>
      <c r="H200" s="1">
        <v>-10.5</v>
      </c>
      <c r="I200" s="1">
        <v>0.85</v>
      </c>
      <c r="K200" s="1">
        <v>1</v>
      </c>
      <c r="L200" s="1">
        <v>15</v>
      </c>
      <c r="M200" s="1">
        <v>1.8</v>
      </c>
      <c r="N200" s="1">
        <v>17.600000000000001</v>
      </c>
      <c r="O200" s="1">
        <v>0.66</v>
      </c>
      <c r="Q200" s="118">
        <f t="shared" si="56"/>
        <v>0.22324564789711673</v>
      </c>
      <c r="R200" s="119">
        <f t="shared" si="57"/>
        <v>64.741237890163859</v>
      </c>
      <c r="S200" s="118" t="str">
        <f t="shared" si="58"/>
        <v/>
      </c>
      <c r="T200" s="118">
        <f t="shared" si="59"/>
        <v>4.023681583884807</v>
      </c>
      <c r="U200" s="118">
        <f t="shared" si="60"/>
        <v>-8.6834816127915992</v>
      </c>
      <c r="V200" s="118" t="e">
        <f t="shared" si="61"/>
        <v>#N/A</v>
      </c>
      <c r="W200" s="118" t="e">
        <f t="shared" si="62"/>
        <v>#N/A</v>
      </c>
      <c r="X200" s="118">
        <f>IF(OR(N200="",R200=""),NA(),10*LOG10((G200+'CMOS FOM coeff. calculation'!$Q$3)^'CMOS FOM coeff. calculation'!$P$3*(1000*E200)^'CMOS FOM coeff. calculation'!$N$3*R200^'CMOS FOM coeff. calculation'!$O$3*N200^'CMOS FOM coeff. calculation'!$M$3))</f>
        <v>22.596360928703273</v>
      </c>
      <c r="Y200" s="68"/>
      <c r="AA200" s="3" t="s">
        <v>5</v>
      </c>
    </row>
    <row r="201" spans="1:27">
      <c r="A201" t="s">
        <v>1940</v>
      </c>
      <c r="B201" t="s">
        <v>1941</v>
      </c>
      <c r="C201" t="s">
        <v>1942</v>
      </c>
      <c r="D201" s="7" t="s">
        <v>1943</v>
      </c>
      <c r="E201" s="6">
        <v>0.25</v>
      </c>
      <c r="F201" s="1">
        <v>0.13</v>
      </c>
      <c r="G201" s="1">
        <v>1.2649999999999999</v>
      </c>
      <c r="H201" s="1">
        <v>-10</v>
      </c>
      <c r="I201" s="1">
        <v>0.8</v>
      </c>
      <c r="J201" s="1">
        <v>-24</v>
      </c>
      <c r="K201" s="1">
        <v>-11</v>
      </c>
      <c r="L201" s="1">
        <v>20</v>
      </c>
      <c r="M201" s="1">
        <v>1.5</v>
      </c>
      <c r="N201" s="1">
        <v>9</v>
      </c>
      <c r="P201" s="1">
        <v>0.66</v>
      </c>
      <c r="Q201" s="118">
        <f t="shared" si="56"/>
        <v>0.20430750971455852</v>
      </c>
      <c r="R201" s="119">
        <f t="shared" si="57"/>
        <v>59.24917781722197</v>
      </c>
      <c r="S201" s="118">
        <f t="shared" si="58"/>
        <v>0.39412609884796218</v>
      </c>
      <c r="T201" s="118">
        <f t="shared" si="59"/>
        <v>3.6305147149537209</v>
      </c>
      <c r="U201" s="118">
        <f t="shared" si="60"/>
        <v>-6.5840368739309323</v>
      </c>
      <c r="V201" s="118">
        <f t="shared" si="61"/>
        <v>-6.4926408783725531</v>
      </c>
      <c r="W201" s="118">
        <f t="shared" si="62"/>
        <v>-9.4461630373497645</v>
      </c>
      <c r="X201" s="118">
        <f>IF(OR(N201="",R201=""),NA(),10*LOG10((G201+'CMOS FOM coeff. calculation'!$Q$3)^'CMOS FOM coeff. calculation'!$P$3*(1000*E201)^'CMOS FOM coeff. calculation'!$N$3*R201^'CMOS FOM coeff. calculation'!$O$3*N201^'CMOS FOM coeff. calculation'!$M$3))</f>
        <v>22.709952575243115</v>
      </c>
      <c r="Y201" s="68"/>
      <c r="Z201" s="66" t="s">
        <v>1944</v>
      </c>
      <c r="AA201" s="3" t="s">
        <v>5</v>
      </c>
    </row>
    <row r="202" spans="1:27">
      <c r="A202" t="s">
        <v>1945</v>
      </c>
      <c r="B202" t="s">
        <v>1946</v>
      </c>
      <c r="C202" t="s">
        <v>1947</v>
      </c>
      <c r="D202" s="7" t="s">
        <v>1948</v>
      </c>
      <c r="E202" s="6">
        <v>0.35</v>
      </c>
      <c r="F202" s="1">
        <v>0.75</v>
      </c>
      <c r="G202" s="1">
        <v>2.625</v>
      </c>
      <c r="H202" s="1">
        <v>-10</v>
      </c>
      <c r="I202" s="1">
        <v>3.7</v>
      </c>
      <c r="L202" s="1">
        <v>8</v>
      </c>
      <c r="N202" s="1">
        <v>10</v>
      </c>
      <c r="P202" s="1">
        <v>9.8000000000000004E-2</v>
      </c>
      <c r="Q202" s="118">
        <f t="shared" si="56"/>
        <v>1.5973995886964387</v>
      </c>
      <c r="R202" s="119">
        <f t="shared" si="57"/>
        <v>463.24588072196724</v>
      </c>
      <c r="S202" s="118" t="str">
        <f t="shared" si="58"/>
        <v/>
      </c>
      <c r="T202" s="118">
        <f t="shared" si="59"/>
        <v>8.6523663731124874</v>
      </c>
      <c r="U202" s="118">
        <f t="shared" si="60"/>
        <v>-9.068828828473487</v>
      </c>
      <c r="V202" s="118" t="e">
        <f t="shared" si="61"/>
        <v>#N/A</v>
      </c>
      <c r="W202" s="118" t="e">
        <f t="shared" si="62"/>
        <v>#N/A</v>
      </c>
      <c r="X202" s="118">
        <f>IF(OR(N202="",R202=""),NA(),10*LOG10((G202+'CMOS FOM coeff. calculation'!$Q$3)^'CMOS FOM coeff. calculation'!$P$3*(1000*E202)^'CMOS FOM coeff. calculation'!$N$3*R202^'CMOS FOM coeff. calculation'!$O$3*N202^'CMOS FOM coeff. calculation'!$M$3))</f>
        <v>16.335273672825213</v>
      </c>
      <c r="Y202" s="68"/>
      <c r="Z202" t="s">
        <v>1949</v>
      </c>
      <c r="AA202" s="3" t="s">
        <v>5</v>
      </c>
    </row>
    <row r="203" spans="1:27">
      <c r="A203" t="s">
        <v>1950</v>
      </c>
      <c r="B203" s="8" t="s">
        <v>1951</v>
      </c>
      <c r="C203" t="s">
        <v>1952</v>
      </c>
      <c r="D203" s="7" t="s">
        <v>1953</v>
      </c>
      <c r="E203" s="6">
        <v>0.25</v>
      </c>
      <c r="F203" s="1">
        <v>4</v>
      </c>
      <c r="G203" s="1">
        <v>7</v>
      </c>
      <c r="I203" s="1">
        <v>1.8</v>
      </c>
      <c r="K203" s="1">
        <v>8.4</v>
      </c>
      <c r="L203" s="1">
        <v>6.2</v>
      </c>
      <c r="M203" s="1">
        <v>2</v>
      </c>
      <c r="N203" s="1">
        <v>13.8</v>
      </c>
      <c r="P203" s="1">
        <v>0.52459999999999996</v>
      </c>
      <c r="Q203" s="118">
        <f t="shared" si="56"/>
        <v>0.67563473209427416</v>
      </c>
      <c r="R203" s="119">
        <f t="shared" si="57"/>
        <v>195.93407230733951</v>
      </c>
      <c r="S203" s="118" t="str">
        <f t="shared" si="58"/>
        <v/>
      </c>
      <c r="T203" s="118">
        <f t="shared" si="59"/>
        <v>4.4901962431007201</v>
      </c>
      <c r="U203" s="118">
        <f t="shared" si="60"/>
        <v>-2.4833296053408458</v>
      </c>
      <c r="V203" s="118" t="e">
        <f t="shared" si="61"/>
        <v>#N/A</v>
      </c>
      <c r="W203" s="118" t="e">
        <f t="shared" si="62"/>
        <v>#N/A</v>
      </c>
      <c r="X203" s="118">
        <f>IF(OR(N203="",R203=""),NA(),10*LOG10((G203+'CMOS FOM coeff. calculation'!$Q$3)^'CMOS FOM coeff. calculation'!$P$3*(1000*E203)^'CMOS FOM coeff. calculation'!$N$3*R203^'CMOS FOM coeff. calculation'!$O$3*N203^'CMOS FOM coeff. calculation'!$M$3))</f>
        <v>20.403549421649281</v>
      </c>
      <c r="Y203" s="68"/>
      <c r="Z203" t="s">
        <v>1954</v>
      </c>
      <c r="AA203" s="3" t="s">
        <v>243</v>
      </c>
    </row>
    <row r="204" spans="1:27">
      <c r="A204" t="s">
        <v>1955</v>
      </c>
      <c r="B204" t="s">
        <v>1956</v>
      </c>
      <c r="C204" t="s">
        <v>1957</v>
      </c>
      <c r="D204" s="7" t="s">
        <v>1958</v>
      </c>
      <c r="E204" s="1">
        <v>0.24</v>
      </c>
      <c r="G204" s="1">
        <v>0.8</v>
      </c>
      <c r="H204" s="1">
        <v>-38.1</v>
      </c>
      <c r="I204" s="1">
        <v>0.7</v>
      </c>
      <c r="K204" s="1">
        <v>7.1</v>
      </c>
      <c r="L204" s="1">
        <v>8.8000000000000007</v>
      </c>
      <c r="M204" s="1">
        <v>2</v>
      </c>
      <c r="N204" s="1">
        <v>7.5</v>
      </c>
      <c r="P204" s="1">
        <v>0.19</v>
      </c>
      <c r="Q204" s="118">
        <f t="shared" si="56"/>
        <v>0.20145441954758717</v>
      </c>
      <c r="R204" s="119">
        <f t="shared" si="57"/>
        <v>58.421781668800278</v>
      </c>
      <c r="S204" s="118" t="str">
        <f t="shared" si="58"/>
        <v/>
      </c>
      <c r="T204" s="118">
        <f t="shared" si="59"/>
        <v>4.86855573655758</v>
      </c>
      <c r="U204" s="118" t="e">
        <f t="shared" si="60"/>
        <v>#N/A</v>
      </c>
      <c r="V204" s="118" t="e">
        <f t="shared" si="61"/>
        <v>#N/A</v>
      </c>
      <c r="W204" s="118" t="e">
        <f t="shared" si="62"/>
        <v>#N/A</v>
      </c>
      <c r="X204" s="118">
        <f>IF(OR(N204="",R204=""),NA(),10*LOG10((G204+'CMOS FOM coeff. calculation'!$Q$3)^'CMOS FOM coeff. calculation'!$P$3*(1000*E204)^'CMOS FOM coeff. calculation'!$N$3*R204^'CMOS FOM coeff. calculation'!$O$3*N204^'CMOS FOM coeff. calculation'!$M$3))</f>
        <v>22.534008170003204</v>
      </c>
      <c r="Y204" s="68"/>
      <c r="Z204" t="s">
        <v>1959</v>
      </c>
    </row>
    <row r="205" spans="1:27">
      <c r="A205" t="s">
        <v>1370</v>
      </c>
      <c r="B205" t="s">
        <v>433</v>
      </c>
      <c r="C205" t="s">
        <v>434</v>
      </c>
      <c r="D205" s="7" t="s">
        <v>432</v>
      </c>
      <c r="E205" s="6">
        <v>0.18</v>
      </c>
      <c r="G205" s="1">
        <v>5.75</v>
      </c>
      <c r="H205" s="1">
        <v>-8</v>
      </c>
      <c r="I205" s="1">
        <v>0.9</v>
      </c>
      <c r="K205" s="1">
        <v>0.9</v>
      </c>
      <c r="L205" s="1">
        <v>14.2</v>
      </c>
      <c r="M205" s="1">
        <v>1</v>
      </c>
      <c r="N205" s="1">
        <v>16</v>
      </c>
      <c r="O205" s="1">
        <v>0.24</v>
      </c>
      <c r="Q205" s="118">
        <f t="shared" si="56"/>
        <v>0.23936933927192613</v>
      </c>
      <c r="R205" s="119">
        <f t="shared" si="57"/>
        <v>69.41710838885858</v>
      </c>
      <c r="S205" s="118" t="str">
        <f t="shared" si="58"/>
        <v/>
      </c>
      <c r="T205" s="118">
        <f t="shared" si="59"/>
        <v>2.6696661197147082</v>
      </c>
      <c r="U205" s="118" t="e">
        <f t="shared" si="60"/>
        <v>#N/A</v>
      </c>
      <c r="V205" s="118" t="e">
        <f t="shared" si="61"/>
        <v>#N/A</v>
      </c>
      <c r="W205" s="118" t="e">
        <f t="shared" si="62"/>
        <v>#N/A</v>
      </c>
      <c r="X205" s="118">
        <f>IF(OR(N205="",R205=""),NA(),10*LOG10((G205+'CMOS FOM coeff. calculation'!$Q$3)^'CMOS FOM coeff. calculation'!$P$3*(1000*E205)^'CMOS FOM coeff. calculation'!$N$3*R205^'CMOS FOM coeff. calculation'!$O$3*N205^'CMOS FOM coeff. calculation'!$M$3))</f>
        <v>22.804326900623106</v>
      </c>
      <c r="Y205" s="68"/>
      <c r="Z205" t="s">
        <v>435</v>
      </c>
      <c r="AA205" s="3" t="s">
        <v>5</v>
      </c>
    </row>
    <row r="206" spans="1:27">
      <c r="E206" s="6">
        <v>0.18</v>
      </c>
      <c r="F206" s="1">
        <v>0.15</v>
      </c>
      <c r="G206" s="1">
        <v>5.75</v>
      </c>
      <c r="H206" s="1">
        <v>-11</v>
      </c>
      <c r="I206" s="1">
        <v>1.8</v>
      </c>
      <c r="K206" s="1">
        <v>4.2</v>
      </c>
      <c r="L206" s="1">
        <v>14.1</v>
      </c>
      <c r="M206" s="1">
        <v>1.8</v>
      </c>
      <c r="N206" s="1">
        <v>21.6</v>
      </c>
      <c r="O206" s="1">
        <v>0.15</v>
      </c>
      <c r="Q206" s="118">
        <f t="shared" si="56"/>
        <v>0.53434987072978246</v>
      </c>
      <c r="R206" s="119">
        <f t="shared" si="57"/>
        <v>154.96146251163691</v>
      </c>
      <c r="S206" s="118" t="str">
        <f t="shared" si="58"/>
        <v/>
      </c>
      <c r="T206" s="118">
        <f t="shared" si="59"/>
        <v>6.5916838911452835</v>
      </c>
      <c r="U206" s="118">
        <f t="shared" si="60"/>
        <v>-9.3380463609596802</v>
      </c>
      <c r="V206" s="118" t="e">
        <f t="shared" si="61"/>
        <v>#N/A</v>
      </c>
      <c r="W206" s="118" t="e">
        <f t="shared" si="62"/>
        <v>#N/A</v>
      </c>
      <c r="X206" s="118">
        <f>IF(OR(N206="",R206=""),NA(),10*LOG10((G206+'CMOS FOM coeff. calculation'!$Q$3)^'CMOS FOM coeff. calculation'!$P$3*(1000*E206)^'CMOS FOM coeff. calculation'!$N$3*R206^'CMOS FOM coeff. calculation'!$O$3*N206^'CMOS FOM coeff. calculation'!$M$3))</f>
        <v>19.404844674830592</v>
      </c>
      <c r="Y206" s="68"/>
      <c r="AA206" s="3" t="s">
        <v>445</v>
      </c>
    </row>
    <row r="207" spans="1:27">
      <c r="A207" t="s">
        <v>1960</v>
      </c>
      <c r="B207" s="8" t="s">
        <v>1961</v>
      </c>
      <c r="C207" t="s">
        <v>1962</v>
      </c>
      <c r="D207" s="7" t="s">
        <v>1963</v>
      </c>
      <c r="E207" s="6">
        <v>0.35</v>
      </c>
      <c r="F207" s="1">
        <v>0.77</v>
      </c>
      <c r="G207" s="1">
        <v>5.1849999999999996</v>
      </c>
      <c r="I207" s="1">
        <v>2.4500000000000002</v>
      </c>
      <c r="K207" s="1">
        <v>-6.1</v>
      </c>
      <c r="L207" s="1">
        <v>19.5</v>
      </c>
      <c r="M207" s="1">
        <v>3.3</v>
      </c>
      <c r="N207" s="1">
        <v>26.4</v>
      </c>
      <c r="Q207" s="118">
        <f t="shared" si="56"/>
        <v>0.76652415645075278</v>
      </c>
      <c r="R207" s="119">
        <f t="shared" si="57"/>
        <v>222.2920053707183</v>
      </c>
      <c r="S207" s="118" t="str">
        <f t="shared" si="58"/>
        <v/>
      </c>
      <c r="T207" s="118">
        <f t="shared" si="59"/>
        <v>4.8980392188668747</v>
      </c>
      <c r="U207" s="118">
        <f t="shared" si="60"/>
        <v>-5.2764034682919352</v>
      </c>
      <c r="V207" s="118" t="e">
        <f t="shared" si="61"/>
        <v>#N/A</v>
      </c>
      <c r="W207" s="118" t="e">
        <f t="shared" si="62"/>
        <v>#N/A</v>
      </c>
      <c r="X207" s="118">
        <f>IF(OR(N207="",R207=""),NA(),10*LOG10((G207+'CMOS FOM coeff. calculation'!$Q$3)^'CMOS FOM coeff. calculation'!$P$3*(1000*E207)^'CMOS FOM coeff. calculation'!$N$3*R207^'CMOS FOM coeff. calculation'!$O$3*N207^'CMOS FOM coeff. calculation'!$M$3))</f>
        <v>19.592269969561876</v>
      </c>
      <c r="Y207" s="68"/>
      <c r="Z207" t="s">
        <v>1964</v>
      </c>
    </row>
    <row r="208" spans="1:27">
      <c r="A208" s="50" t="s">
        <v>1373</v>
      </c>
      <c r="B208" s="8" t="s">
        <v>441</v>
      </c>
      <c r="C208" t="s">
        <v>444</v>
      </c>
      <c r="D208" s="7" t="s">
        <v>442</v>
      </c>
      <c r="E208" s="6">
        <v>0.13</v>
      </c>
      <c r="F208" s="1">
        <v>0.2</v>
      </c>
      <c r="G208" s="1">
        <v>2.15</v>
      </c>
      <c r="H208" s="1">
        <v>-10</v>
      </c>
      <c r="I208" s="1">
        <v>2.2999999999999998</v>
      </c>
      <c r="J208" s="1">
        <v>-12</v>
      </c>
      <c r="K208" s="1">
        <v>5.4</v>
      </c>
      <c r="L208" s="1">
        <v>12</v>
      </c>
      <c r="M208" s="1">
        <v>1.5</v>
      </c>
      <c r="N208" s="1">
        <v>9.75</v>
      </c>
      <c r="Q208" s="118">
        <f t="shared" si="56"/>
        <v>0.74526680914444499</v>
      </c>
      <c r="R208" s="119">
        <f t="shared" si="57"/>
        <v>216.12737465188906</v>
      </c>
      <c r="S208" s="118">
        <f t="shared" si="58"/>
        <v>0.9369042655519807</v>
      </c>
      <c r="T208" s="118">
        <f t="shared" si="59"/>
        <v>11.617632090041205</v>
      </c>
      <c r="U208" s="118">
        <f t="shared" si="60"/>
        <v>-13.9475321044946</v>
      </c>
      <c r="V208" s="118">
        <f t="shared" si="61"/>
        <v>-13.1632694623882</v>
      </c>
      <c r="W208" s="118">
        <f t="shared" si="62"/>
        <v>-15.493169476841596</v>
      </c>
      <c r="X208" s="118">
        <f>IF(OR(N208="",R208=""),NA(),10*LOG10((G208+'CMOS FOM coeff. calculation'!$Q$3)^'CMOS FOM coeff. calculation'!$P$3*(1000*E208)^'CMOS FOM coeff. calculation'!$N$3*R208^'CMOS FOM coeff. calculation'!$O$3*N208^'CMOS FOM coeff. calculation'!$M$3))</f>
        <v>16.077561372469123</v>
      </c>
      <c r="Y208" s="68"/>
      <c r="Z208" t="s">
        <v>443</v>
      </c>
      <c r="AA208" s="3" t="s">
        <v>5</v>
      </c>
    </row>
    <row r="209" spans="1:27">
      <c r="E209" s="6">
        <v>0.13</v>
      </c>
      <c r="G209" s="1">
        <v>2.15</v>
      </c>
      <c r="H209" s="1">
        <v>-20</v>
      </c>
      <c r="I209" s="1">
        <v>4</v>
      </c>
      <c r="J209" s="1">
        <v>-3</v>
      </c>
      <c r="K209" s="1">
        <v>10</v>
      </c>
      <c r="L209" s="1">
        <v>10.8</v>
      </c>
      <c r="M209" s="1">
        <v>1.5</v>
      </c>
      <c r="N209" s="1">
        <v>6.75</v>
      </c>
      <c r="Q209" s="118">
        <f t="shared" si="56"/>
        <v>1.6490482943101654</v>
      </c>
      <c r="R209" s="119">
        <f t="shared" si="57"/>
        <v>478.22400534994796</v>
      </c>
      <c r="S209" s="118">
        <f t="shared" si="58"/>
        <v>5.5244086271163066</v>
      </c>
      <c r="T209" s="118">
        <f t="shared" si="59"/>
        <v>14.534511892440044</v>
      </c>
      <c r="U209" s="118" t="e">
        <f t="shared" si="60"/>
        <v>#N/A</v>
      </c>
      <c r="V209" s="118">
        <f t="shared" si="61"/>
        <v>-12.979177859935236</v>
      </c>
      <c r="W209" s="118" t="e">
        <f t="shared" si="62"/>
        <v>#N/A</v>
      </c>
      <c r="X209" s="118">
        <f>IF(OR(N209="",R209=""),NA(),10*LOG10((G209+'CMOS FOM coeff. calculation'!$Q$3)^'CMOS FOM coeff. calculation'!$P$3*(1000*E209)^'CMOS FOM coeff. calculation'!$N$3*R209^'CMOS FOM coeff. calculation'!$O$3*N209^'CMOS FOM coeff. calculation'!$M$3))</f>
        <v>13.292668707442662</v>
      </c>
      <c r="Y209" s="68"/>
      <c r="AA209" s="3" t="s">
        <v>5</v>
      </c>
    </row>
    <row r="210" spans="1:27">
      <c r="A210" t="s">
        <v>1869</v>
      </c>
      <c r="B210" s="8" t="s">
        <v>1965</v>
      </c>
      <c r="C210" t="s">
        <v>1966</v>
      </c>
      <c r="D210" s="7" t="s">
        <v>1967</v>
      </c>
      <c r="E210" s="6">
        <v>0.25</v>
      </c>
      <c r="F210" s="1">
        <v>1.5980000000000001</v>
      </c>
      <c r="G210" s="1">
        <v>0.8</v>
      </c>
      <c r="H210" s="1">
        <v>-10</v>
      </c>
      <c r="I210" s="1">
        <v>1.9</v>
      </c>
      <c r="K210" s="1">
        <v>0</v>
      </c>
      <c r="L210" s="1">
        <v>13.7</v>
      </c>
      <c r="M210" s="1">
        <v>2.5</v>
      </c>
      <c r="N210" s="1">
        <v>35</v>
      </c>
      <c r="P210" s="1">
        <v>7.4999999999999997E-2</v>
      </c>
      <c r="Q210" s="118">
        <f t="shared" si="56"/>
        <v>0.57327119391686865</v>
      </c>
      <c r="R210" s="119">
        <f t="shared" si="57"/>
        <v>166.2486462358919</v>
      </c>
      <c r="S210" s="118" t="str">
        <f t="shared" si="58"/>
        <v/>
      </c>
      <c r="T210" s="118">
        <f t="shared" si="59"/>
        <v>11.404027981864214</v>
      </c>
      <c r="U210" s="118">
        <f t="shared" si="60"/>
        <v>-10.72543873193764</v>
      </c>
      <c r="V210" s="118" t="e">
        <f t="shared" si="61"/>
        <v>#N/A</v>
      </c>
      <c r="W210" s="118" t="e">
        <f t="shared" si="62"/>
        <v>#N/A</v>
      </c>
      <c r="X210" s="118">
        <f>IF(OR(N210="",R210=""),NA(),10*LOG10((G210+'CMOS FOM coeff. calculation'!$Q$3)^'CMOS FOM coeff. calculation'!$P$3*(1000*E210)^'CMOS FOM coeff. calculation'!$N$3*R210^'CMOS FOM coeff. calculation'!$O$3*N210^'CMOS FOM coeff. calculation'!$M$3))</f>
        <v>17.232446095383647</v>
      </c>
      <c r="Y210" s="68"/>
      <c r="Z210" t="s">
        <v>1968</v>
      </c>
      <c r="AA210" s="3" t="s">
        <v>445</v>
      </c>
    </row>
    <row r="211" spans="1:27">
      <c r="A211" t="s">
        <v>1377</v>
      </c>
      <c r="B211" s="8" t="s">
        <v>446</v>
      </c>
      <c r="C211" t="s">
        <v>448</v>
      </c>
      <c r="D211" s="7" t="s">
        <v>447</v>
      </c>
      <c r="E211" s="6">
        <v>0.09</v>
      </c>
      <c r="F211" s="1">
        <v>16</v>
      </c>
      <c r="G211" s="1">
        <v>34</v>
      </c>
      <c r="H211" s="1">
        <v>-6</v>
      </c>
      <c r="I211" s="1">
        <v>3.6</v>
      </c>
      <c r="J211" s="1">
        <v>-6.9</v>
      </c>
      <c r="L211" s="1">
        <v>11.9</v>
      </c>
      <c r="M211" s="1">
        <v>2.4</v>
      </c>
      <c r="N211" s="1">
        <v>40.799999999999997</v>
      </c>
      <c r="P211" s="1">
        <v>0.18</v>
      </c>
      <c r="Q211" s="118">
        <f t="shared" si="56"/>
        <v>1.379965723283884</v>
      </c>
      <c r="R211" s="119">
        <f t="shared" si="57"/>
        <v>400.19005975232636</v>
      </c>
      <c r="S211" s="118">
        <f t="shared" si="58"/>
        <v>2.9581038657014265</v>
      </c>
      <c r="T211" s="118">
        <f t="shared" si="59"/>
        <v>10.501123962567217</v>
      </c>
      <c r="U211" s="118">
        <f t="shared" si="60"/>
        <v>-6.4873906870474682</v>
      </c>
      <c r="V211" s="118">
        <f t="shared" si="61"/>
        <v>-15.919017864512742</v>
      </c>
      <c r="W211" s="118">
        <f t="shared" si="62"/>
        <v>-11.905284588992995</v>
      </c>
      <c r="X211" s="118">
        <f>IF(OR(N211="",R211=""),NA(),10*LOG10((G211+'CMOS FOM coeff. calculation'!$Q$3)^'CMOS FOM coeff. calculation'!$P$3*(1000*E211)^'CMOS FOM coeff. calculation'!$N$3*R211^'CMOS FOM coeff. calculation'!$O$3*N211^'CMOS FOM coeff. calculation'!$M$3))</f>
        <v>20.698921331015619</v>
      </c>
      <c r="Y211" s="68"/>
      <c r="Z211" t="s">
        <v>449</v>
      </c>
    </row>
    <row r="212" spans="1:27">
      <c r="A212" t="s">
        <v>1827</v>
      </c>
      <c r="B212" t="s">
        <v>459</v>
      </c>
      <c r="C212" t="s">
        <v>460</v>
      </c>
      <c r="D212" s="7" t="s">
        <v>458</v>
      </c>
      <c r="E212" s="6">
        <v>0.18</v>
      </c>
      <c r="F212" s="1">
        <v>6.9</v>
      </c>
      <c r="G212" s="1">
        <v>5.75</v>
      </c>
      <c r="H212" s="1">
        <v>-10</v>
      </c>
      <c r="I212" s="1">
        <v>4</v>
      </c>
      <c r="J212" s="1">
        <v>-15</v>
      </c>
      <c r="K212" s="1">
        <v>-6.7</v>
      </c>
      <c r="L212" s="1">
        <v>9.3000000000000007</v>
      </c>
      <c r="M212" s="1">
        <v>1.8</v>
      </c>
      <c r="N212" s="1">
        <v>9</v>
      </c>
      <c r="P212" s="1">
        <v>1.1000000000000001</v>
      </c>
      <c r="Q212" s="118">
        <f t="shared" si="56"/>
        <v>1.713165870789187</v>
      </c>
      <c r="R212" s="119">
        <f t="shared" si="57"/>
        <v>496.81810252886424</v>
      </c>
      <c r="S212" s="118">
        <f t="shared" si="58"/>
        <v>0.23753070379100782</v>
      </c>
      <c r="T212" s="118">
        <f t="shared" si="59"/>
        <v>10.384050137999193</v>
      </c>
      <c r="U212" s="118">
        <f t="shared" si="60"/>
        <v>-7.5878865022083417</v>
      </c>
      <c r="V212" s="118">
        <f t="shared" si="61"/>
        <v>-15.695593816971892</v>
      </c>
      <c r="W212" s="118">
        <f t="shared" si="62"/>
        <v>-12.899430181181041</v>
      </c>
      <c r="X212" s="118">
        <f>IF(OR(N212="",R212=""),NA(),10*LOG10((G212+'CMOS FOM coeff. calculation'!$Q$3)^'CMOS FOM coeff. calculation'!$P$3*(1000*E212)^'CMOS FOM coeff. calculation'!$N$3*R212^'CMOS FOM coeff. calculation'!$O$3*N212^'CMOS FOM coeff. calculation'!$M$3))</f>
        <v>15.61150381095047</v>
      </c>
      <c r="Y212" s="68"/>
      <c r="Z212" t="s">
        <v>461</v>
      </c>
      <c r="AA212" s="3" t="s">
        <v>5</v>
      </c>
    </row>
    <row r="213" spans="1:27">
      <c r="E213" s="6">
        <v>0.18</v>
      </c>
      <c r="F213" s="1">
        <v>7.1</v>
      </c>
      <c r="G213" s="1">
        <v>5.95</v>
      </c>
      <c r="H213" s="1">
        <v>-9.4</v>
      </c>
      <c r="I213" s="1">
        <v>4.2</v>
      </c>
      <c r="J213" s="1">
        <v>-18</v>
      </c>
      <c r="K213" s="1">
        <v>-8.8000000000000007</v>
      </c>
      <c r="L213" s="1">
        <v>10.4</v>
      </c>
      <c r="M213" s="1">
        <v>1.8</v>
      </c>
      <c r="N213" s="1">
        <v>9</v>
      </c>
      <c r="Q213" s="118">
        <f t="shared" si="56"/>
        <v>1.7938709686795458</v>
      </c>
      <c r="R213" s="119">
        <f t="shared" si="57"/>
        <v>520.22258091706829</v>
      </c>
      <c r="S213" s="118">
        <f t="shared" si="58"/>
        <v>0.15793115095032637</v>
      </c>
      <c r="T213" s="118">
        <f t="shared" si="59"/>
        <v>10.484973873259559</v>
      </c>
      <c r="U213" s="118">
        <f t="shared" si="60"/>
        <v>-7.6474460441959753</v>
      </c>
      <c r="V213" s="118">
        <f t="shared" si="61"/>
        <v>-16.436854472900468</v>
      </c>
      <c r="W213" s="118">
        <f t="shared" si="62"/>
        <v>-13.599326643836884</v>
      </c>
      <c r="X213" s="118">
        <f>IF(OR(N213="",R213=""),NA(),10*LOG10((G213+'CMOS FOM coeff. calculation'!$Q$3)^'CMOS FOM coeff. calculation'!$P$3*(1000*E213)^'CMOS FOM coeff. calculation'!$N$3*R213^'CMOS FOM coeff. calculation'!$O$3*N213^'CMOS FOM coeff. calculation'!$M$3))</f>
        <v>15.51822073206985</v>
      </c>
      <c r="Y213" s="68"/>
      <c r="AA213" s="3" t="s">
        <v>445</v>
      </c>
    </row>
    <row r="214" spans="1:27" ht="14.25" customHeight="1">
      <c r="A214" t="s">
        <v>1391</v>
      </c>
      <c r="B214" t="s">
        <v>467</v>
      </c>
      <c r="C214" t="s">
        <v>468</v>
      </c>
      <c r="D214" s="7" t="s">
        <v>466</v>
      </c>
      <c r="E214" s="1">
        <v>0.18</v>
      </c>
      <c r="F214" s="1">
        <v>2.6</v>
      </c>
      <c r="G214" s="1">
        <v>3.3</v>
      </c>
      <c r="H214" s="1">
        <v>-5</v>
      </c>
      <c r="I214" s="1">
        <v>2.2999999999999998</v>
      </c>
      <c r="K214" s="1">
        <v>-7</v>
      </c>
      <c r="L214" s="1">
        <v>9.8000000000000007</v>
      </c>
      <c r="M214" s="1">
        <v>1.8</v>
      </c>
      <c r="N214" s="1">
        <v>12.6</v>
      </c>
      <c r="P214" s="1">
        <v>0.9</v>
      </c>
      <c r="Q214" s="118">
        <f t="shared" si="56"/>
        <v>0.77991028488377545</v>
      </c>
      <c r="R214" s="119">
        <f t="shared" si="57"/>
        <v>226.17398261629489</v>
      </c>
      <c r="S214" s="118" t="str">
        <f t="shared" si="58"/>
        <v/>
      </c>
      <c r="T214" s="118">
        <f t="shared" si="59"/>
        <v>9.061288625184261</v>
      </c>
      <c r="U214" s="118">
        <f t="shared" si="60"/>
        <v>-7.6780441319482016</v>
      </c>
      <c r="V214" s="118" t="e">
        <f t="shared" si="61"/>
        <v>#N/A</v>
      </c>
      <c r="W214" s="118" t="e">
        <f t="shared" si="62"/>
        <v>#N/A</v>
      </c>
      <c r="X214" s="118">
        <f>IF(OR(N214="",R214=""),NA(),10*LOG10((G214+'CMOS FOM coeff. calculation'!$Q$3)^'CMOS FOM coeff. calculation'!$P$3*(1000*E214)^'CMOS FOM coeff. calculation'!$N$3*R214^'CMOS FOM coeff. calculation'!$O$3*N214^'CMOS FOM coeff. calculation'!$M$3))</f>
        <v>17.256943610303157</v>
      </c>
      <c r="Y214" s="68"/>
      <c r="Z214" t="s">
        <v>469</v>
      </c>
    </row>
    <row r="215" spans="1:27" ht="13.5" customHeight="1">
      <c r="A215" t="s">
        <v>1828</v>
      </c>
      <c r="B215" t="s">
        <v>472</v>
      </c>
      <c r="C215" t="s">
        <v>473</v>
      </c>
      <c r="D215" s="7" t="s">
        <v>471</v>
      </c>
      <c r="E215" s="6">
        <v>0.09</v>
      </c>
      <c r="F215" s="1">
        <v>1.35</v>
      </c>
      <c r="G215" s="1">
        <v>5.5</v>
      </c>
      <c r="H215" s="1">
        <v>-5</v>
      </c>
      <c r="I215" s="1">
        <v>2.9</v>
      </c>
      <c r="J215" s="1">
        <v>-11.5</v>
      </c>
      <c r="K215" s="1">
        <v>-3</v>
      </c>
      <c r="L215" s="1">
        <v>13.3</v>
      </c>
      <c r="M215" s="1">
        <v>1.2</v>
      </c>
      <c r="N215" s="1">
        <v>9.7200000000000006</v>
      </c>
      <c r="P215" s="1">
        <v>0.94</v>
      </c>
      <c r="Q215" s="118">
        <f t="shared" si="56"/>
        <v>0.99645216938118997</v>
      </c>
      <c r="R215" s="119">
        <f t="shared" si="57"/>
        <v>288.97112912054507</v>
      </c>
      <c r="S215" s="118">
        <f t="shared" si="58"/>
        <v>1.4427666699977952</v>
      </c>
      <c r="T215" s="118">
        <f t="shared" si="59"/>
        <v>12.284467397298599</v>
      </c>
      <c r="U215" s="118">
        <f t="shared" si="60"/>
        <v>-11.850021502315245</v>
      </c>
      <c r="V215" s="118">
        <f t="shared" si="61"/>
        <v>-14.028051940398354</v>
      </c>
      <c r="W215" s="118">
        <f t="shared" si="62"/>
        <v>-13.593606045415001</v>
      </c>
      <c r="X215" s="118">
        <f>IF(OR(N215="",R215=""),NA(),10*LOG10((G215+'CMOS FOM coeff. calculation'!$Q$3)^'CMOS FOM coeff. calculation'!$P$3*(1000*E215)^'CMOS FOM coeff. calculation'!$N$3*R215^'CMOS FOM coeff. calculation'!$O$3*N215^'CMOS FOM coeff. calculation'!$M$3))</f>
        <v>15.445999465336699</v>
      </c>
      <c r="Y215" s="68"/>
      <c r="Z215" t="s">
        <v>474</v>
      </c>
      <c r="AA215" s="3" t="s">
        <v>5</v>
      </c>
    </row>
    <row r="216" spans="1:27">
      <c r="E216" s="6">
        <v>0.09</v>
      </c>
      <c r="F216" s="1">
        <v>1.38</v>
      </c>
      <c r="G216" s="1">
        <v>5.5</v>
      </c>
      <c r="H216" s="1">
        <v>-6</v>
      </c>
      <c r="I216" s="1">
        <v>2.7</v>
      </c>
      <c r="J216" s="1">
        <v>-11</v>
      </c>
      <c r="K216" s="1">
        <v>-3</v>
      </c>
      <c r="L216" s="1">
        <v>12.3</v>
      </c>
      <c r="M216" s="1">
        <v>1.2</v>
      </c>
      <c r="N216" s="1">
        <v>9.7200000000000006</v>
      </c>
      <c r="P216" s="1">
        <v>0.94</v>
      </c>
      <c r="Q216" s="118">
        <f t="shared" si="56"/>
        <v>0.9160267931936481</v>
      </c>
      <c r="R216" s="119">
        <f t="shared" si="57"/>
        <v>265.64777002615796</v>
      </c>
      <c r="S216" s="118">
        <f t="shared" si="58"/>
        <v>1.2695300591192249</v>
      </c>
      <c r="T216" s="118">
        <f t="shared" si="59"/>
        <v>11.918984594143057</v>
      </c>
      <c r="U216" s="118">
        <f t="shared" si="60"/>
        <v>-11.452720972805603</v>
      </c>
      <c r="V216" s="118">
        <f t="shared" si="61"/>
        <v>-13.847746179416113</v>
      </c>
      <c r="W216" s="118">
        <f t="shared" si="62"/>
        <v>-13.381482558078659</v>
      </c>
      <c r="X216" s="118">
        <f>IF(OR(N216="",R216=""),NA(),10*LOG10((G216+'CMOS FOM coeff. calculation'!$Q$3)^'CMOS FOM coeff. calculation'!$P$3*(1000*E216)^'CMOS FOM coeff. calculation'!$N$3*R216^'CMOS FOM coeff. calculation'!$O$3*N216^'CMOS FOM coeff. calculation'!$M$3))</f>
        <v>15.77493398817669</v>
      </c>
      <c r="Y216" s="68"/>
      <c r="AA216" s="3" t="s">
        <v>5</v>
      </c>
    </row>
    <row r="217" spans="1:27" ht="16.5" customHeight="1">
      <c r="A217" t="s">
        <v>1829</v>
      </c>
      <c r="B217" s="51" t="s">
        <v>488</v>
      </c>
      <c r="C217" t="s">
        <v>489</v>
      </c>
      <c r="D217" s="7" t="s">
        <v>487</v>
      </c>
      <c r="E217" s="6">
        <v>0.18</v>
      </c>
      <c r="F217" s="1">
        <v>3</v>
      </c>
      <c r="G217" s="1">
        <v>5.5</v>
      </c>
      <c r="H217" s="1">
        <v>-10</v>
      </c>
      <c r="I217" s="1">
        <v>2.5</v>
      </c>
      <c r="K217" s="1">
        <v>7.6</v>
      </c>
      <c r="L217" s="1">
        <v>9.4</v>
      </c>
      <c r="M217" s="1">
        <v>1.8</v>
      </c>
      <c r="N217" s="1">
        <v>3.42</v>
      </c>
      <c r="P217" s="1">
        <v>0.60970000000000002</v>
      </c>
      <c r="Q217" s="118">
        <f t="shared" si="56"/>
        <v>0.87922832905120196</v>
      </c>
      <c r="R217" s="119">
        <f t="shared" si="57"/>
        <v>254.97621542484856</v>
      </c>
      <c r="S217" s="118" t="str">
        <f t="shared" si="58"/>
        <v/>
      </c>
      <c r="T217" s="118">
        <f t="shared" si="59"/>
        <v>6.2150524164920276</v>
      </c>
      <c r="U217" s="118">
        <f t="shared" si="60"/>
        <v>-4.6246482340931525</v>
      </c>
      <c r="V217" s="118" t="e">
        <f t="shared" si="61"/>
        <v>#N/A</v>
      </c>
      <c r="W217" s="118" t="e">
        <f t="shared" si="62"/>
        <v>#N/A</v>
      </c>
      <c r="X217" s="118">
        <f>IF(OR(N217="",R217=""),NA(),10*LOG10((G217+'CMOS FOM coeff. calculation'!$Q$3)^'CMOS FOM coeff. calculation'!$P$3*(1000*E217)^'CMOS FOM coeff. calculation'!$N$3*R217^'CMOS FOM coeff. calculation'!$O$3*N217^'CMOS FOM coeff. calculation'!$M$3))</f>
        <v>18.949682810872567</v>
      </c>
      <c r="Y217" s="68"/>
      <c r="Z217" t="s">
        <v>490</v>
      </c>
      <c r="AA217" s="3" t="s">
        <v>5</v>
      </c>
    </row>
    <row r="218" spans="1:27">
      <c r="A218" t="s">
        <v>1802</v>
      </c>
      <c r="B218" s="8" t="s">
        <v>495</v>
      </c>
      <c r="C218" t="s">
        <v>498</v>
      </c>
      <c r="D218" s="7" t="s">
        <v>496</v>
      </c>
      <c r="E218" s="1">
        <v>0.13</v>
      </c>
      <c r="F218" s="1">
        <v>7.0000000000000007E-2</v>
      </c>
      <c r="G218" s="1">
        <v>1.9650000000000001</v>
      </c>
      <c r="H218" s="1">
        <v>-10</v>
      </c>
      <c r="I218" s="1">
        <v>1.5</v>
      </c>
      <c r="K218" s="1">
        <v>-4</v>
      </c>
      <c r="L218" s="1">
        <v>20</v>
      </c>
      <c r="M218" s="1">
        <v>1.2</v>
      </c>
      <c r="N218" s="1">
        <v>9.6</v>
      </c>
      <c r="Q218" s="118">
        <f t="shared" si="56"/>
        <v>0.41670459052803471</v>
      </c>
      <c r="R218" s="119">
        <f t="shared" si="57"/>
        <v>120.84433125313006</v>
      </c>
      <c r="S218" s="118" t="str">
        <f t="shared" si="58"/>
        <v/>
      </c>
      <c r="T218" s="118">
        <f t="shared" si="59"/>
        <v>9.3308585624967346</v>
      </c>
      <c r="U218" s="118">
        <f t="shared" si="60"/>
        <v>-13.180531762449212</v>
      </c>
      <c r="V218" s="118" t="e">
        <f t="shared" si="61"/>
        <v>#N/A</v>
      </c>
      <c r="W218" s="118" t="e">
        <f t="shared" si="62"/>
        <v>#N/A</v>
      </c>
      <c r="X218" s="118">
        <f>IF(OR(N218="",R218=""),NA(),10*LOG10((G218+'CMOS FOM coeff. calculation'!$Q$3)^'CMOS FOM coeff. calculation'!$P$3*(1000*E218)^'CMOS FOM coeff. calculation'!$N$3*R218^'CMOS FOM coeff. calculation'!$O$3*N218^'CMOS FOM coeff. calculation'!$M$3))</f>
        <v>18.264538634850538</v>
      </c>
      <c r="Y218" s="68"/>
      <c r="Z218" t="s">
        <v>497</v>
      </c>
      <c r="AA218" s="3" t="s">
        <v>5</v>
      </c>
    </row>
    <row r="219" spans="1:27">
      <c r="A219" t="s">
        <v>1432</v>
      </c>
      <c r="B219" s="8" t="s">
        <v>499</v>
      </c>
      <c r="C219" t="s">
        <v>502</v>
      </c>
      <c r="D219" s="7" t="s">
        <v>500</v>
      </c>
      <c r="E219" s="6">
        <v>0.18</v>
      </c>
      <c r="F219" s="1">
        <v>6.96</v>
      </c>
      <c r="G219" s="1">
        <v>3.52</v>
      </c>
      <c r="H219" s="1">
        <v>-16</v>
      </c>
      <c r="I219" s="1">
        <v>4.2</v>
      </c>
      <c r="J219" s="1">
        <v>-8.5</v>
      </c>
      <c r="K219" s="1">
        <v>3</v>
      </c>
      <c r="L219" s="1">
        <v>8.6</v>
      </c>
      <c r="N219" s="1">
        <v>9</v>
      </c>
      <c r="P219" s="1">
        <v>1.1599999999999999</v>
      </c>
      <c r="Q219" s="118">
        <f t="shared" si="56"/>
        <v>1.8913464845080759</v>
      </c>
      <c r="R219" s="119">
        <f t="shared" si="57"/>
        <v>548.490480507342</v>
      </c>
      <c r="S219" s="118">
        <f t="shared" si="58"/>
        <v>0.88203923781847893</v>
      </c>
      <c r="T219" s="118">
        <f t="shared" si="59"/>
        <v>12.234601505710454</v>
      </c>
      <c r="U219" s="118">
        <f t="shared" si="60"/>
        <v>-9.4259040403419139</v>
      </c>
      <c r="V219" s="118">
        <f t="shared" si="61"/>
        <v>-14.936500748110447</v>
      </c>
      <c r="W219" s="118">
        <f t="shared" si="62"/>
        <v>-12.127803282741906</v>
      </c>
      <c r="X219" s="118">
        <f>IF(OR(N219="",R219=""),NA(),10*LOG10((G219+'CMOS FOM coeff. calculation'!$Q$3)^'CMOS FOM coeff. calculation'!$P$3*(1000*E219)^'CMOS FOM coeff. calculation'!$N$3*R219^'CMOS FOM coeff. calculation'!$O$3*N219^'CMOS FOM coeff. calculation'!$M$3))</f>
        <v>14.195175017844633</v>
      </c>
      <c r="Y219" s="68"/>
      <c r="Z219" t="s">
        <v>501</v>
      </c>
      <c r="AA219" s="3" t="s">
        <v>5</v>
      </c>
    </row>
    <row r="220" spans="1:27">
      <c r="A220" t="s">
        <v>1969</v>
      </c>
      <c r="B220" s="8" t="s">
        <v>1970</v>
      </c>
      <c r="C220" t="s">
        <v>1971</v>
      </c>
      <c r="D220" s="7" t="s">
        <v>1972</v>
      </c>
      <c r="E220" s="6">
        <v>0.25</v>
      </c>
      <c r="F220" s="1">
        <v>0.01</v>
      </c>
      <c r="G220" s="1">
        <v>0.93</v>
      </c>
      <c r="H220" s="1">
        <v>-10</v>
      </c>
      <c r="I220" s="1">
        <v>1.2</v>
      </c>
      <c r="K220" s="1">
        <v>8</v>
      </c>
      <c r="L220" s="1">
        <v>16.2</v>
      </c>
      <c r="M220" s="1">
        <v>2.6</v>
      </c>
      <c r="N220" s="1">
        <v>31.2</v>
      </c>
      <c r="Q220" s="118">
        <f t="shared" si="56"/>
        <v>0.32607882474637512</v>
      </c>
      <c r="R220" s="119">
        <f t="shared" si="57"/>
        <v>94.562859176448782</v>
      </c>
      <c r="S220" s="118" t="str">
        <f t="shared" si="58"/>
        <v/>
      </c>
      <c r="T220" s="118">
        <f t="shared" si="59"/>
        <v>8.3513215111868941</v>
      </c>
      <c r="U220" s="118">
        <f t="shared" si="60"/>
        <v>-15.01798817785356</v>
      </c>
      <c r="V220" s="118" t="e">
        <f t="shared" si="61"/>
        <v>#N/A</v>
      </c>
      <c r="W220" s="118" t="e">
        <f t="shared" si="62"/>
        <v>#N/A</v>
      </c>
      <c r="X220" s="118">
        <f>IF(OR(N220="",R220=""),NA(),10*LOG10((G220+'CMOS FOM coeff. calculation'!$Q$3)^'CMOS FOM coeff. calculation'!$P$3*(1000*E220)^'CMOS FOM coeff. calculation'!$N$3*R220^'CMOS FOM coeff. calculation'!$O$3*N220^'CMOS FOM coeff. calculation'!$M$3))</f>
        <v>19.612564078639561</v>
      </c>
      <c r="Y220" s="68"/>
      <c r="Z220" t="s">
        <v>1973</v>
      </c>
      <c r="AA220" s="3" t="s">
        <v>5</v>
      </c>
    </row>
    <row r="221" spans="1:27">
      <c r="A221" t="s">
        <v>1443</v>
      </c>
      <c r="B221" s="8" t="s">
        <v>503</v>
      </c>
      <c r="C221" t="s">
        <v>506</v>
      </c>
      <c r="D221" s="7" t="s">
        <v>504</v>
      </c>
      <c r="E221" s="6">
        <v>0.13</v>
      </c>
      <c r="F221" s="1">
        <v>0.83</v>
      </c>
      <c r="G221" s="1">
        <v>0.51500000000000001</v>
      </c>
      <c r="H221" s="1">
        <v>-10</v>
      </c>
      <c r="I221" s="1">
        <v>3.6</v>
      </c>
      <c r="J221" s="1">
        <v>-18</v>
      </c>
      <c r="K221" s="1">
        <v>-10.199999999999999</v>
      </c>
      <c r="L221" s="1">
        <v>13</v>
      </c>
      <c r="M221" s="1">
        <v>1.2</v>
      </c>
      <c r="N221" s="1">
        <v>0.72</v>
      </c>
      <c r="O221" s="1">
        <v>0.26790000000000003</v>
      </c>
      <c r="Q221" s="118">
        <f t="shared" si="56"/>
        <v>1.3589778896765341</v>
      </c>
      <c r="R221" s="119">
        <f t="shared" si="57"/>
        <v>394.10358800619491</v>
      </c>
      <c r="S221" s="118">
        <f t="shared" si="58"/>
        <v>0.30037883409222671</v>
      </c>
      <c r="T221" s="118">
        <f t="shared" si="59"/>
        <v>14.591939339381373</v>
      </c>
      <c r="U221" s="118">
        <f t="shared" si="60"/>
        <v>-14.861679031461126</v>
      </c>
      <c r="V221" s="118">
        <f t="shared" si="61"/>
        <v>-11.943318507764999</v>
      </c>
      <c r="W221" s="118">
        <f t="shared" si="62"/>
        <v>-12.213058199844752</v>
      </c>
      <c r="X221" s="118">
        <f>IF(OR(N221="",R221=""),NA(),10*LOG10((G221+'CMOS FOM coeff. calculation'!$Q$3)^'CMOS FOM coeff. calculation'!$P$3*(1000*E221)^'CMOS FOM coeff. calculation'!$N$3*R221^'CMOS FOM coeff. calculation'!$O$3*N221^'CMOS FOM coeff. calculation'!$M$3))</f>
        <v>15.07765030282869</v>
      </c>
      <c r="Y221" s="68"/>
      <c r="Z221" t="s">
        <v>505</v>
      </c>
      <c r="AA221" s="3" t="s">
        <v>445</v>
      </c>
    </row>
    <row r="222" spans="1:27">
      <c r="A222" t="s">
        <v>1830</v>
      </c>
      <c r="B222" s="8" t="s">
        <v>512</v>
      </c>
      <c r="C222" t="s">
        <v>513</v>
      </c>
      <c r="D222" s="7" t="s">
        <v>511</v>
      </c>
      <c r="E222" s="6">
        <v>0.18</v>
      </c>
      <c r="F222" s="1">
        <v>10.7</v>
      </c>
      <c r="G222" s="1">
        <v>6.55</v>
      </c>
      <c r="H222" s="1">
        <v>-11</v>
      </c>
      <c r="I222" s="1">
        <v>4.5</v>
      </c>
      <c r="K222" s="1">
        <v>-6.2</v>
      </c>
      <c r="L222" s="1">
        <v>9.6999999999999993</v>
      </c>
      <c r="M222" s="1">
        <v>1.8</v>
      </c>
      <c r="N222" s="1">
        <v>20</v>
      </c>
      <c r="P222" s="1">
        <v>0.59</v>
      </c>
      <c r="Q222" s="118">
        <f t="shared" si="56"/>
        <v>2.0366095794227901</v>
      </c>
      <c r="R222" s="119">
        <f t="shared" si="57"/>
        <v>590.61677803260909</v>
      </c>
      <c r="S222" s="118" t="str">
        <f t="shared" si="58"/>
        <v/>
      </c>
      <c r="T222" s="118">
        <f t="shared" si="59"/>
        <v>11.913935739451645</v>
      </c>
      <c r="U222" s="118">
        <f t="shared" si="60"/>
        <v>-8.4826564805009461</v>
      </c>
      <c r="V222" s="118" t="e">
        <f t="shared" si="61"/>
        <v>#N/A</v>
      </c>
      <c r="W222" s="118" t="e">
        <f t="shared" si="62"/>
        <v>#N/A</v>
      </c>
      <c r="X222" s="118">
        <f>IF(OR(N222="",R222=""),NA(),10*LOG10((G222+'CMOS FOM coeff. calculation'!$Q$3)^'CMOS FOM coeff. calculation'!$P$3*(1000*E222)^'CMOS FOM coeff. calculation'!$N$3*R222^'CMOS FOM coeff. calculation'!$O$3*N222^'CMOS FOM coeff. calculation'!$M$3))</f>
        <v>14.583457544561897</v>
      </c>
      <c r="Y222" s="68"/>
      <c r="Z222" t="s">
        <v>514</v>
      </c>
    </row>
    <row r="223" spans="1:27">
      <c r="A223" t="s">
        <v>1831</v>
      </c>
      <c r="B223" s="8" t="s">
        <v>519</v>
      </c>
      <c r="C223" t="s">
        <v>522</v>
      </c>
      <c r="D223" s="7" t="s">
        <v>520</v>
      </c>
      <c r="E223" s="6">
        <v>0.13</v>
      </c>
      <c r="F223" s="1">
        <v>7.5</v>
      </c>
      <c r="G223" s="1">
        <v>6.85</v>
      </c>
      <c r="H223" s="1">
        <v>-10</v>
      </c>
      <c r="I223" s="1">
        <v>2.1</v>
      </c>
      <c r="K223" s="1">
        <v>-8.5</v>
      </c>
      <c r="L223" s="1">
        <v>15.1</v>
      </c>
      <c r="M223" s="1">
        <v>1.2</v>
      </c>
      <c r="N223" s="1">
        <v>9</v>
      </c>
      <c r="P223" s="1">
        <v>0.87</v>
      </c>
      <c r="Q223" s="118">
        <f t="shared" si="56"/>
        <v>0.6416386265277606</v>
      </c>
      <c r="R223" s="119">
        <f t="shared" si="57"/>
        <v>186.07520169305059</v>
      </c>
      <c r="S223" s="118" t="str">
        <f t="shared" si="58"/>
        <v/>
      </c>
      <c r="T223" s="118">
        <f t="shared" si="59"/>
        <v>7.4965315292036871</v>
      </c>
      <c r="U223" s="118">
        <f t="shared" si="60"/>
        <v>-4.5796606512313538</v>
      </c>
      <c r="V223" s="118" t="e">
        <f t="shared" si="61"/>
        <v>#N/A</v>
      </c>
      <c r="W223" s="118" t="e">
        <f t="shared" si="62"/>
        <v>#N/A</v>
      </c>
      <c r="X223" s="118">
        <f>IF(OR(N223="",R223=""),NA(),10*LOG10((G223+'CMOS FOM coeff. calculation'!$Q$3)^'CMOS FOM coeff. calculation'!$P$3*(1000*E223)^'CMOS FOM coeff. calculation'!$N$3*R223^'CMOS FOM coeff. calculation'!$O$3*N223^'CMOS FOM coeff. calculation'!$M$3))</f>
        <v>18.926963965010405</v>
      </c>
      <c r="Y223" s="68"/>
      <c r="Z223" t="s">
        <v>521</v>
      </c>
      <c r="AA223" s="3" t="s">
        <v>5</v>
      </c>
    </row>
    <row r="224" spans="1:27">
      <c r="E224" s="6">
        <v>0.13</v>
      </c>
      <c r="F224" s="1">
        <v>7.5</v>
      </c>
      <c r="G224" s="1">
        <v>6.85</v>
      </c>
      <c r="H224" s="1">
        <v>-8.6</v>
      </c>
      <c r="I224" s="1">
        <v>1.9</v>
      </c>
      <c r="K224" s="1">
        <v>-7.2</v>
      </c>
      <c r="L224" s="1">
        <v>15.3</v>
      </c>
      <c r="M224" s="1">
        <v>1.2</v>
      </c>
      <c r="N224" s="1">
        <v>9</v>
      </c>
      <c r="P224" s="1">
        <v>0.87</v>
      </c>
      <c r="Q224" s="118">
        <f t="shared" ref="Q224:Q255" si="63">IF(OR(I224="",L224=""),"",(10^(I224/10)-1)*10^(L224/10)/(10^(L224/10)-1))</f>
        <v>0.565505880639248</v>
      </c>
      <c r="R224" s="119">
        <f t="shared" ref="R224:R255" si="64">IF(Q224="","",290*Q224)</f>
        <v>163.99670538538192</v>
      </c>
      <c r="S224" s="118" t="str">
        <f t="shared" ref="S224:S255" si="65">IF(OR(J224="",L224=""),"",10^(J224/10)*(10^(L224/10)-1))</f>
        <v/>
      </c>
      <c r="T224" s="118">
        <f t="shared" ref="T224:T255" si="66">IF(OR(Q224="",N224="",E224="",G224=""),NA(),10*LOG10(Q224*N224^(1/3)*E224^(-4/3)*G224^(-2/3)))</f>
        <v>6.9479977787899792</v>
      </c>
      <c r="U224" s="118">
        <f t="shared" ref="U224:U255" si="67">IF(OR(ISNA(T224),F224=""),NA(),10*LOG10(F224^(1/3))-T224)</f>
        <v>-4.0311269008176458</v>
      </c>
      <c r="V224" s="118" t="e">
        <f t="shared" ref="V224:V255" si="68">IF(OR(ISNA(T224),S224=""),NA(),10*LOG10(S224^(1/3)*E224*G224^(1/3)/Q224/N224^(2/3)))</f>
        <v>#N/A</v>
      </c>
      <c r="W224" s="118" t="e">
        <f t="shared" ref="W224:W255" si="69">IF(OR(ISNA(V224),F224=""),NA(),V224+10*LOG10(F224^(1/3)))</f>
        <v>#N/A</v>
      </c>
      <c r="X224" s="118">
        <f>IF(OR(N224="",R224=""),NA(),10*LOG10((G224+'CMOS FOM coeff. calculation'!$Q$3)^'CMOS FOM coeff. calculation'!$P$3*(1000*E224)^'CMOS FOM coeff. calculation'!$N$3*R224^'CMOS FOM coeff. calculation'!$O$3*N224^'CMOS FOM coeff. calculation'!$M$3))</f>
        <v>19.420644340382744</v>
      </c>
      <c r="Y224" s="68"/>
      <c r="AA224" s="3" t="s">
        <v>5</v>
      </c>
    </row>
    <row r="225" spans="1:27">
      <c r="A225" t="s">
        <v>1831</v>
      </c>
      <c r="B225" s="8" t="s">
        <v>523</v>
      </c>
      <c r="C225" t="s">
        <v>526</v>
      </c>
      <c r="D225" s="7" t="s">
        <v>524</v>
      </c>
      <c r="E225" s="1">
        <v>0.13</v>
      </c>
      <c r="F225" s="1">
        <v>3.5</v>
      </c>
      <c r="G225" s="1">
        <v>2.25</v>
      </c>
      <c r="H225" s="1">
        <v>-11</v>
      </c>
      <c r="I225" s="1">
        <v>7.4</v>
      </c>
      <c r="L225" s="1">
        <v>8</v>
      </c>
      <c r="M225" s="1">
        <v>1.2</v>
      </c>
      <c r="N225" s="1">
        <v>8.3000000000000007</v>
      </c>
      <c r="Q225" s="118">
        <f t="shared" si="63"/>
        <v>5.342069734098823</v>
      </c>
      <c r="R225" s="119">
        <f t="shared" si="64"/>
        <v>1549.2002228886586</v>
      </c>
      <c r="S225" s="118" t="str">
        <f t="shared" si="65"/>
        <v/>
      </c>
      <c r="T225" s="118">
        <f t="shared" si="66"/>
        <v>19.806894352071719</v>
      </c>
      <c r="U225" s="118">
        <f t="shared" si="67"/>
        <v>-17.993334204237467</v>
      </c>
      <c r="V225" s="118" t="e">
        <f t="shared" si="68"/>
        <v>#N/A</v>
      </c>
      <c r="W225" s="118" t="e">
        <f t="shared" si="69"/>
        <v>#N/A</v>
      </c>
      <c r="X225" s="118">
        <f>IF(OR(N225="",R225=""),NA(),10*LOG10((G225+'CMOS FOM coeff. calculation'!$Q$3)^'CMOS FOM coeff. calculation'!$P$3*(1000*E225)^'CMOS FOM coeff. calculation'!$N$3*R225^'CMOS FOM coeff. calculation'!$O$3*N225^'CMOS FOM coeff. calculation'!$M$3))</f>
        <v>8.5717973699384213</v>
      </c>
      <c r="Y225" s="68"/>
      <c r="Z225" t="s">
        <v>525</v>
      </c>
      <c r="AA225" s="3" t="s">
        <v>5</v>
      </c>
    </row>
    <row r="226" spans="1:27" ht="16.5" customHeight="1">
      <c r="A226" t="s">
        <v>1831</v>
      </c>
      <c r="B226" s="8" t="s">
        <v>532</v>
      </c>
      <c r="C226" t="s">
        <v>533</v>
      </c>
      <c r="D226" s="7" t="s">
        <v>531</v>
      </c>
      <c r="E226" s="6">
        <v>0.09</v>
      </c>
      <c r="F226" s="1">
        <v>8</v>
      </c>
      <c r="G226" s="1">
        <v>58</v>
      </c>
      <c r="H226" s="1">
        <v>-6</v>
      </c>
      <c r="I226" s="1">
        <v>5.5</v>
      </c>
      <c r="K226" s="1">
        <v>-6.8</v>
      </c>
      <c r="L226" s="1">
        <v>14.6</v>
      </c>
      <c r="M226" s="1">
        <v>1.5</v>
      </c>
      <c r="N226" s="1">
        <v>24</v>
      </c>
      <c r="P226" s="1">
        <v>0.14000000000000001</v>
      </c>
      <c r="Q226" s="118">
        <f t="shared" si="63"/>
        <v>2.6396606544961001</v>
      </c>
      <c r="R226" s="119">
        <f t="shared" si="64"/>
        <v>765.50158980386902</v>
      </c>
      <c r="S226" s="118" t="str">
        <f t="shared" si="65"/>
        <v/>
      </c>
      <c r="T226" s="118">
        <f t="shared" si="66"/>
        <v>11.003431713609528</v>
      </c>
      <c r="U226" s="118">
        <f t="shared" si="67"/>
        <v>-7.9931317569697162</v>
      </c>
      <c r="V226" s="118" t="e">
        <f t="shared" si="68"/>
        <v>#N/A</v>
      </c>
      <c r="W226" s="118" t="e">
        <f t="shared" si="69"/>
        <v>#N/A</v>
      </c>
      <c r="X226" s="118">
        <f>IF(OR(N226="",R226=""),NA(),10*LOG10((G226+'CMOS FOM coeff. calculation'!$Q$3)^'CMOS FOM coeff. calculation'!$P$3*(1000*E226)^'CMOS FOM coeff. calculation'!$N$3*R226^'CMOS FOM coeff. calculation'!$O$3*N226^'CMOS FOM coeff. calculation'!$M$3))</f>
        <v>22.134504161190954</v>
      </c>
      <c r="Y226" s="68"/>
      <c r="Z226" t="s">
        <v>534</v>
      </c>
      <c r="AA226" s="3" t="s">
        <v>5</v>
      </c>
    </row>
    <row r="227" spans="1:27">
      <c r="A227" t="s">
        <v>1832</v>
      </c>
      <c r="B227" s="8" t="s">
        <v>539</v>
      </c>
      <c r="C227" t="s">
        <v>541</v>
      </c>
      <c r="D227" s="7" t="s">
        <v>540</v>
      </c>
      <c r="E227" s="6">
        <v>0.09</v>
      </c>
      <c r="F227" s="1">
        <v>0.6</v>
      </c>
      <c r="G227" s="1">
        <v>1.1000000000000001</v>
      </c>
      <c r="H227" s="1">
        <v>-10</v>
      </c>
      <c r="I227" s="1">
        <v>0.2</v>
      </c>
      <c r="J227" s="1">
        <v>-14</v>
      </c>
      <c r="K227" s="1">
        <v>-5</v>
      </c>
      <c r="L227" s="1">
        <v>20</v>
      </c>
      <c r="M227" s="1">
        <v>1</v>
      </c>
      <c r="N227" s="1">
        <v>43</v>
      </c>
      <c r="P227" s="1">
        <v>0.82499999999999996</v>
      </c>
      <c r="Q227" s="118">
        <f t="shared" si="63"/>
        <v>4.7604593990807686E-2</v>
      </c>
      <c r="R227" s="119">
        <f t="shared" si="64"/>
        <v>13.805332257334229</v>
      </c>
      <c r="S227" s="118">
        <f t="shared" si="65"/>
        <v>3.9412609884796228</v>
      </c>
      <c r="T227" s="118">
        <f t="shared" si="66"/>
        <v>5.8888654800785396</v>
      </c>
      <c r="U227" s="118">
        <f t="shared" si="67"/>
        <v>-6.6283613121330607</v>
      </c>
      <c r="V227" s="118">
        <f t="shared" si="68"/>
        <v>-6.0004269986771632</v>
      </c>
      <c r="W227" s="118">
        <f t="shared" si="69"/>
        <v>-6.7399228307316843</v>
      </c>
      <c r="X227" s="118">
        <f>IF(OR(N227="",R227=""),NA(),10*LOG10((G227+'CMOS FOM coeff. calculation'!$Q$3)^'CMOS FOM coeff. calculation'!$P$3*(1000*E227)^'CMOS FOM coeff. calculation'!$N$3*R227^'CMOS FOM coeff. calculation'!$O$3*N227^'CMOS FOM coeff. calculation'!$M$3))</f>
        <v>23.846167500624293</v>
      </c>
      <c r="Y227" s="68"/>
      <c r="Z227" t="s">
        <v>542</v>
      </c>
      <c r="AA227" s="3" t="s">
        <v>5</v>
      </c>
    </row>
    <row r="228" spans="1:27">
      <c r="A228" t="s">
        <v>1474</v>
      </c>
      <c r="B228" s="8" t="s">
        <v>548</v>
      </c>
      <c r="C228" t="s">
        <v>550</v>
      </c>
      <c r="D228" s="7" t="s">
        <v>547</v>
      </c>
      <c r="E228" s="6">
        <v>6.5000000000000002E-2</v>
      </c>
      <c r="F228" s="1">
        <v>0.9</v>
      </c>
      <c r="G228" s="1">
        <v>2</v>
      </c>
      <c r="H228" s="1">
        <v>-10</v>
      </c>
      <c r="I228" s="1">
        <v>6.8</v>
      </c>
      <c r="K228" s="1">
        <v>2.6</v>
      </c>
      <c r="L228" s="1">
        <v>20.9</v>
      </c>
      <c r="N228" s="1">
        <v>9.6</v>
      </c>
      <c r="Q228" s="118">
        <f t="shared" si="63"/>
        <v>3.8173293410126199</v>
      </c>
      <c r="R228" s="119">
        <f t="shared" si="64"/>
        <v>1107.0255088936597</v>
      </c>
      <c r="S228" s="118" t="str">
        <f t="shared" si="65"/>
        <v/>
      </c>
      <c r="T228" s="118">
        <f t="shared" si="66"/>
        <v>22.912789021404215</v>
      </c>
      <c r="U228" s="118">
        <f t="shared" si="67"/>
        <v>-23.065313989939799</v>
      </c>
      <c r="V228" s="118" t="e">
        <f t="shared" si="68"/>
        <v>#N/A</v>
      </c>
      <c r="W228" s="118" t="e">
        <f t="shared" si="69"/>
        <v>#N/A</v>
      </c>
      <c r="X228" s="118">
        <f>IF(OR(N228="",R228=""),NA(),10*LOG10((G228+'CMOS FOM coeff. calculation'!$Q$3)^'CMOS FOM coeff. calculation'!$P$3*(1000*E228)^'CMOS FOM coeff. calculation'!$N$3*R228^'CMOS FOM coeff. calculation'!$O$3*N228^'CMOS FOM coeff. calculation'!$M$3))</f>
        <v>7.5187326663396234</v>
      </c>
      <c r="Y228" s="68"/>
      <c r="Z228" t="s">
        <v>549</v>
      </c>
      <c r="AA228" s="3" t="s">
        <v>5</v>
      </c>
    </row>
    <row r="229" spans="1:27">
      <c r="A229" t="s">
        <v>1474</v>
      </c>
      <c r="B229" t="s">
        <v>552</v>
      </c>
      <c r="C229" t="s">
        <v>553</v>
      </c>
      <c r="D229" s="7" t="s">
        <v>551</v>
      </c>
      <c r="E229" s="6">
        <v>0.13</v>
      </c>
      <c r="F229" s="1">
        <v>1.3009999999999999</v>
      </c>
      <c r="G229" s="1">
        <v>1.5195000000000001</v>
      </c>
      <c r="I229" s="1">
        <v>4.5</v>
      </c>
      <c r="K229" s="1">
        <v>7.4</v>
      </c>
      <c r="L229" s="1">
        <v>10.5</v>
      </c>
      <c r="M229" s="1">
        <v>1.5</v>
      </c>
      <c r="N229" s="1">
        <v>5.85</v>
      </c>
      <c r="Q229" s="118">
        <f t="shared" si="63"/>
        <v>1.9963036844182125</v>
      </c>
      <c r="R229" s="119">
        <f t="shared" si="64"/>
        <v>578.92806848128157</v>
      </c>
      <c r="S229" s="118" t="str">
        <f t="shared" si="65"/>
        <v/>
      </c>
      <c r="T229" s="118">
        <f t="shared" si="66"/>
        <v>16.162202909858273</v>
      </c>
      <c r="U229" s="118">
        <f t="shared" si="67"/>
        <v>-15.781278587986318</v>
      </c>
      <c r="V229" s="118" t="e">
        <f t="shared" si="68"/>
        <v>#N/A</v>
      </c>
      <c r="W229" s="118" t="e">
        <f t="shared" si="69"/>
        <v>#N/A</v>
      </c>
      <c r="X229" s="118">
        <f>IF(OR(N229="",R229=""),NA(),10*LOG10((G229+'CMOS FOM coeff. calculation'!$Q$3)^'CMOS FOM coeff. calculation'!$P$3*(1000*E229)^'CMOS FOM coeff. calculation'!$N$3*R229^'CMOS FOM coeff. calculation'!$O$3*N229^'CMOS FOM coeff. calculation'!$M$3))</f>
        <v>12.328444839008883</v>
      </c>
      <c r="Y229" s="68"/>
      <c r="Z229" t="s">
        <v>554</v>
      </c>
      <c r="AA229" s="3" t="s">
        <v>5</v>
      </c>
    </row>
    <row r="230" spans="1:27">
      <c r="A230" t="s">
        <v>1487</v>
      </c>
      <c r="B230" t="s">
        <v>557</v>
      </c>
      <c r="C230" t="s">
        <v>556</v>
      </c>
      <c r="D230" s="7" t="s">
        <v>555</v>
      </c>
      <c r="E230" s="6">
        <v>0.13</v>
      </c>
      <c r="G230" s="1">
        <v>2.1</v>
      </c>
      <c r="H230" s="1">
        <v>-14</v>
      </c>
      <c r="I230" s="1">
        <v>3</v>
      </c>
      <c r="K230" s="1">
        <v>10.5</v>
      </c>
      <c r="L230" s="1">
        <v>5.2</v>
      </c>
      <c r="M230" s="1">
        <v>1.2</v>
      </c>
      <c r="N230" s="1">
        <v>12.6</v>
      </c>
      <c r="P230" s="1">
        <v>0.66</v>
      </c>
      <c r="Q230" s="118">
        <f t="shared" si="63"/>
        <v>1.4258673795680419</v>
      </c>
      <c r="R230" s="119">
        <f t="shared" si="64"/>
        <v>413.50154007473213</v>
      </c>
      <c r="S230" s="118" t="str">
        <f t="shared" si="65"/>
        <v/>
      </c>
      <c r="T230" s="118">
        <f t="shared" si="66"/>
        <v>14.874653156508671</v>
      </c>
      <c r="U230" s="118" t="e">
        <f t="shared" si="67"/>
        <v>#N/A</v>
      </c>
      <c r="V230" s="118" t="e">
        <f t="shared" si="68"/>
        <v>#N/A</v>
      </c>
      <c r="W230" s="118" t="e">
        <f t="shared" si="69"/>
        <v>#N/A</v>
      </c>
      <c r="X230" s="118">
        <f>IF(OR(N230="",R230=""),NA(),10*LOG10((G230+'CMOS FOM coeff. calculation'!$Q$3)^'CMOS FOM coeff. calculation'!$P$3*(1000*E230)^'CMOS FOM coeff. calculation'!$N$3*R230^'CMOS FOM coeff. calculation'!$O$3*N230^'CMOS FOM coeff. calculation'!$M$3))</f>
        <v>13.29232028131061</v>
      </c>
      <c r="Y230" s="68"/>
      <c r="Z230" t="s">
        <v>558</v>
      </c>
      <c r="AA230" s="3" t="s">
        <v>5</v>
      </c>
    </row>
    <row r="231" spans="1:27">
      <c r="A231" t="s">
        <v>1487</v>
      </c>
      <c r="B231" t="s">
        <v>1974</v>
      </c>
      <c r="C231" t="s">
        <v>1975</v>
      </c>
      <c r="D231" s="7" t="s">
        <v>1976</v>
      </c>
      <c r="E231" s="6">
        <v>0.35</v>
      </c>
      <c r="F231" s="1">
        <v>0.25</v>
      </c>
      <c r="G231" s="1">
        <v>2.2749999999999999</v>
      </c>
      <c r="H231" s="1">
        <v>-10</v>
      </c>
      <c r="I231" s="1">
        <v>1.92</v>
      </c>
      <c r="K231" s="1">
        <v>-2.5499999999999998</v>
      </c>
      <c r="L231" s="1">
        <v>8.6</v>
      </c>
      <c r="M231" s="1">
        <v>1.8</v>
      </c>
      <c r="N231" s="1">
        <v>16.2</v>
      </c>
      <c r="O231" s="1">
        <v>0.72250000000000003</v>
      </c>
      <c r="P231" s="1">
        <v>1.3</v>
      </c>
      <c r="Q231" s="118">
        <f t="shared" si="63"/>
        <v>0.64500048339969362</v>
      </c>
      <c r="R231" s="119">
        <f t="shared" si="64"/>
        <v>187.05014018591115</v>
      </c>
      <c r="S231" s="118" t="str">
        <f t="shared" si="65"/>
        <v/>
      </c>
      <c r="T231" s="118">
        <f t="shared" si="66"/>
        <v>5.826533851718926</v>
      </c>
      <c r="U231" s="118">
        <f t="shared" si="67"/>
        <v>-7.8334004894788007</v>
      </c>
      <c r="V231" s="118" t="e">
        <f t="shared" si="68"/>
        <v>#N/A</v>
      </c>
      <c r="W231" s="118" t="e">
        <f t="shared" si="69"/>
        <v>#N/A</v>
      </c>
      <c r="X231" s="118">
        <f>IF(OR(N231="",R231=""),NA(),10*LOG10((G231+'CMOS FOM coeff. calculation'!$Q$3)^'CMOS FOM coeff. calculation'!$P$3*(1000*E231)^'CMOS FOM coeff. calculation'!$N$3*R231^'CMOS FOM coeff. calculation'!$O$3*N231^'CMOS FOM coeff. calculation'!$M$3))</f>
        <v>19.278332404515769</v>
      </c>
      <c r="Y231" s="68"/>
      <c r="Z231" t="s">
        <v>1977</v>
      </c>
      <c r="AA231" s="3" t="s">
        <v>5</v>
      </c>
    </row>
    <row r="232" spans="1:27">
      <c r="A232" t="s">
        <v>1491</v>
      </c>
      <c r="B232" t="s">
        <v>560</v>
      </c>
      <c r="C232" t="s">
        <v>561</v>
      </c>
      <c r="D232" s="7" t="s">
        <v>559</v>
      </c>
      <c r="E232" s="6">
        <v>0.09</v>
      </c>
      <c r="F232" s="1">
        <v>3</v>
      </c>
      <c r="G232" s="1">
        <v>61.5</v>
      </c>
      <c r="H232" s="1">
        <v>-16</v>
      </c>
      <c r="I232" s="1">
        <v>7.8</v>
      </c>
      <c r="L232" s="1">
        <v>16.3</v>
      </c>
      <c r="M232" s="1">
        <v>1.2</v>
      </c>
      <c r="N232" s="1">
        <v>45</v>
      </c>
      <c r="Q232" s="118">
        <f t="shared" si="63"/>
        <v>5.1462353937480128</v>
      </c>
      <c r="R232" s="119">
        <f t="shared" si="64"/>
        <v>1492.4082641869236</v>
      </c>
      <c r="S232" s="118" t="str">
        <f t="shared" si="65"/>
        <v/>
      </c>
      <c r="T232" s="118">
        <f t="shared" si="66"/>
        <v>14.643203955309872</v>
      </c>
      <c r="U232" s="118">
        <f t="shared" si="67"/>
        <v>-13.052799772910998</v>
      </c>
      <c r="V232" s="118" t="e">
        <f t="shared" si="68"/>
        <v>#N/A</v>
      </c>
      <c r="W232" s="118" t="e">
        <f t="shared" si="69"/>
        <v>#N/A</v>
      </c>
      <c r="X232" s="118">
        <f>IF(OR(N232="",R232=""),NA(),10*LOG10((G232+'CMOS FOM coeff. calculation'!$Q$3)^'CMOS FOM coeff. calculation'!$P$3*(1000*E232)^'CMOS FOM coeff. calculation'!$N$3*R232^'CMOS FOM coeff. calculation'!$O$3*N232^'CMOS FOM coeff. calculation'!$M$3))</f>
        <v>19.390201321058186</v>
      </c>
      <c r="Y232" s="68"/>
      <c r="Z232" t="s">
        <v>562</v>
      </c>
      <c r="AA232" s="3" t="s">
        <v>5</v>
      </c>
    </row>
    <row r="233" spans="1:27">
      <c r="A233" t="s">
        <v>1804</v>
      </c>
      <c r="B233" t="s">
        <v>564</v>
      </c>
      <c r="C233" t="s">
        <v>565</v>
      </c>
      <c r="D233" s="7" t="s">
        <v>563</v>
      </c>
      <c r="E233" s="6">
        <v>0.13</v>
      </c>
      <c r="F233" s="1">
        <v>1.3</v>
      </c>
      <c r="G233" s="1">
        <v>1.45</v>
      </c>
      <c r="H233" s="1">
        <v>-8.5</v>
      </c>
      <c r="I233" s="1">
        <v>2.6</v>
      </c>
      <c r="J233" s="1">
        <v>-12</v>
      </c>
      <c r="K233" s="1">
        <v>16</v>
      </c>
      <c r="L233" s="1">
        <v>14.5</v>
      </c>
      <c r="M233" s="1">
        <v>1.5</v>
      </c>
      <c r="N233" s="1">
        <v>17.399999999999999</v>
      </c>
      <c r="O233" s="1">
        <v>9.9199999999999997E-2</v>
      </c>
      <c r="P233" s="1">
        <v>0.65569999999999995</v>
      </c>
      <c r="Q233" s="118">
        <f t="shared" si="63"/>
        <v>0.84985484645262721</v>
      </c>
      <c r="R233" s="119">
        <f t="shared" si="64"/>
        <v>246.45790547126188</v>
      </c>
      <c r="S233" s="118">
        <f t="shared" si="65"/>
        <v>1.7151836755909038</v>
      </c>
      <c r="T233" s="118">
        <f t="shared" si="66"/>
        <v>14.166913669276116</v>
      </c>
      <c r="U233" s="118">
        <f t="shared" si="67"/>
        <v>-13.787102494919994</v>
      </c>
      <c r="V233" s="118">
        <f t="shared" si="68"/>
        <v>-15.105413563367412</v>
      </c>
      <c r="W233" s="118">
        <f t="shared" si="69"/>
        <v>-14.725602389011289</v>
      </c>
      <c r="X233" s="118">
        <f>IF(OR(N233="",R233=""),NA(),10*LOG10((G233+'CMOS FOM coeff. calculation'!$Q$3)^'CMOS FOM coeff. calculation'!$P$3*(1000*E233)^'CMOS FOM coeff. calculation'!$N$3*R233^'CMOS FOM coeff. calculation'!$O$3*N233^'CMOS FOM coeff. calculation'!$M$3))</f>
        <v>14.681107027548798</v>
      </c>
      <c r="Y233" s="68"/>
      <c r="Z233" t="s">
        <v>566</v>
      </c>
      <c r="AA233" s="3" t="s">
        <v>5</v>
      </c>
    </row>
    <row r="234" spans="1:27">
      <c r="A234" t="s">
        <v>1804</v>
      </c>
      <c r="B234" t="s">
        <v>568</v>
      </c>
      <c r="C234" t="s">
        <v>569</v>
      </c>
      <c r="D234" s="7" t="s">
        <v>567</v>
      </c>
      <c r="E234" s="6">
        <v>0.13</v>
      </c>
      <c r="F234" s="1">
        <v>0.1</v>
      </c>
      <c r="G234" s="1">
        <v>2.5499999999999998</v>
      </c>
      <c r="I234" s="1">
        <v>3.34</v>
      </c>
      <c r="J234" s="1">
        <v>-18</v>
      </c>
      <c r="K234" s="1">
        <v>-10</v>
      </c>
      <c r="L234" s="1">
        <v>15.3</v>
      </c>
      <c r="M234" s="1">
        <v>0.9</v>
      </c>
      <c r="N234" s="1">
        <v>4.8</v>
      </c>
      <c r="P234" s="1">
        <v>0.5</v>
      </c>
      <c r="Q234" s="118">
        <f t="shared" si="63"/>
        <v>1.1929508857628994</v>
      </c>
      <c r="R234" s="119">
        <f t="shared" si="64"/>
        <v>345.95575687124085</v>
      </c>
      <c r="S234" s="118">
        <f t="shared" si="65"/>
        <v>0.52118286444564144</v>
      </c>
      <c r="T234" s="118">
        <f t="shared" si="66"/>
        <v>12.140850530645121</v>
      </c>
      <c r="U234" s="118">
        <f t="shared" si="67"/>
        <v>-15.474183863978453</v>
      </c>
      <c r="V234" s="118">
        <f t="shared" si="68"/>
        <v>-13.756632669517995</v>
      </c>
      <c r="W234" s="118">
        <f t="shared" si="69"/>
        <v>-17.089966002851327</v>
      </c>
      <c r="X234" s="118">
        <f>IF(OR(N234="",R234=""),NA(),10*LOG10((G234+'CMOS FOM coeff. calculation'!$Q$3)^'CMOS FOM coeff. calculation'!$P$3*(1000*E234)^'CMOS FOM coeff. calculation'!$N$3*R234^'CMOS FOM coeff. calculation'!$O$3*N234^'CMOS FOM coeff. calculation'!$M$3))</f>
        <v>15.064232162023734</v>
      </c>
      <c r="Y234" s="68"/>
      <c r="Z234" t="s">
        <v>570</v>
      </c>
      <c r="AA234" s="3" t="s">
        <v>5</v>
      </c>
    </row>
    <row r="235" spans="1:27">
      <c r="A235" t="s">
        <v>1804</v>
      </c>
      <c r="B235" t="s">
        <v>572</v>
      </c>
      <c r="C235" t="s">
        <v>573</v>
      </c>
      <c r="D235" s="7" t="s">
        <v>571</v>
      </c>
      <c r="E235" s="6">
        <v>0.18</v>
      </c>
      <c r="G235" s="1">
        <v>5.5</v>
      </c>
      <c r="H235" s="1">
        <v>-25</v>
      </c>
      <c r="I235" s="1">
        <v>3.25</v>
      </c>
      <c r="L235" s="1">
        <v>21</v>
      </c>
      <c r="N235" s="1">
        <v>2.7</v>
      </c>
      <c r="P235" s="1">
        <v>0.43659999999999999</v>
      </c>
      <c r="Q235" s="118">
        <f t="shared" si="63"/>
        <v>1.1224046166142627</v>
      </c>
      <c r="R235" s="119">
        <f t="shared" si="64"/>
        <v>325.4973388181362</v>
      </c>
      <c r="S235" s="118" t="str">
        <f t="shared" si="65"/>
        <v/>
      </c>
      <c r="T235" s="118">
        <f t="shared" si="66"/>
        <v>6.9333223259309218</v>
      </c>
      <c r="U235" s="118" t="e">
        <f t="shared" si="67"/>
        <v>#N/A</v>
      </c>
      <c r="V235" s="118" t="e">
        <f t="shared" si="68"/>
        <v>#N/A</v>
      </c>
      <c r="W235" s="118" t="e">
        <f t="shared" si="69"/>
        <v>#N/A</v>
      </c>
      <c r="X235" s="118">
        <f>IF(OR(N235="",R235=""),NA(),10*LOG10((G235+'CMOS FOM coeff. calculation'!$Q$3)^'CMOS FOM coeff. calculation'!$P$3*(1000*E235)^'CMOS FOM coeff. calculation'!$N$3*R235^'CMOS FOM coeff. calculation'!$O$3*N235^'CMOS FOM coeff. calculation'!$M$3))</f>
        <v>18.200577550480418</v>
      </c>
      <c r="Y235" s="68"/>
      <c r="Z235" t="s">
        <v>574</v>
      </c>
      <c r="AA235" s="3" t="s">
        <v>5</v>
      </c>
    </row>
    <row r="236" spans="1:27">
      <c r="A236" t="s">
        <v>1494</v>
      </c>
      <c r="B236" t="s">
        <v>576</v>
      </c>
      <c r="C236" t="s">
        <v>577</v>
      </c>
      <c r="D236" s="7" t="s">
        <v>575</v>
      </c>
      <c r="E236" s="6">
        <v>6.5000000000000002E-2</v>
      </c>
      <c r="F236" s="1">
        <v>5</v>
      </c>
      <c r="G236" s="1">
        <v>2.7</v>
      </c>
      <c r="H236" s="1">
        <v>-14</v>
      </c>
      <c r="I236" s="1">
        <v>3.5</v>
      </c>
      <c r="K236" s="1">
        <v>0</v>
      </c>
      <c r="L236" s="1">
        <v>15.6</v>
      </c>
      <c r="M236" s="1">
        <v>1.2</v>
      </c>
      <c r="N236" s="1">
        <v>21</v>
      </c>
      <c r="O236" s="1">
        <v>8.8000000000000005E-3</v>
      </c>
      <c r="Q236" s="118">
        <f t="shared" si="63"/>
        <v>1.2738046313494158</v>
      </c>
      <c r="R236" s="119">
        <f t="shared" si="64"/>
        <v>369.40334309133056</v>
      </c>
      <c r="S236" s="118" t="str">
        <f t="shared" si="65"/>
        <v/>
      </c>
      <c r="T236" s="118">
        <f t="shared" si="66"/>
        <v>18.410489368591278</v>
      </c>
      <c r="U236" s="118">
        <f t="shared" si="67"/>
        <v>-16.080589354137881</v>
      </c>
      <c r="V236" s="118" t="e">
        <f t="shared" si="68"/>
        <v>#N/A</v>
      </c>
      <c r="W236" s="118" t="e">
        <f t="shared" si="69"/>
        <v>#N/A</v>
      </c>
      <c r="X236" s="118">
        <f>IF(OR(N236="",R236=""),NA(),10*LOG10((G236+'CMOS FOM coeff. calculation'!$Q$3)^'CMOS FOM coeff. calculation'!$P$3*(1000*E236)^'CMOS FOM coeff. calculation'!$N$3*R236^'CMOS FOM coeff. calculation'!$O$3*N236^'CMOS FOM coeff. calculation'!$M$3))</f>
        <v>11.496181606016428</v>
      </c>
      <c r="Y236" s="68"/>
      <c r="Z236" t="s">
        <v>578</v>
      </c>
      <c r="AA236" s="3" t="s">
        <v>5</v>
      </c>
    </row>
    <row r="237" spans="1:27">
      <c r="A237" t="s">
        <v>1499</v>
      </c>
      <c r="B237" t="s">
        <v>580</v>
      </c>
      <c r="C237" t="s">
        <v>581</v>
      </c>
      <c r="D237" s="7" t="s">
        <v>579</v>
      </c>
      <c r="E237" s="6">
        <v>0.09</v>
      </c>
      <c r="F237" s="1">
        <v>6</v>
      </c>
      <c r="G237" s="1">
        <v>64</v>
      </c>
      <c r="H237" s="1">
        <v>-10</v>
      </c>
      <c r="I237" s="1">
        <v>6.5</v>
      </c>
      <c r="L237" s="1">
        <v>15.5</v>
      </c>
      <c r="M237" s="1">
        <v>1.65</v>
      </c>
      <c r="N237" s="1">
        <v>86</v>
      </c>
      <c r="P237" s="1">
        <v>0.52</v>
      </c>
      <c r="Q237" s="118">
        <f t="shared" si="63"/>
        <v>3.5673783026861701</v>
      </c>
      <c r="R237" s="119">
        <f t="shared" si="64"/>
        <v>1034.5397077789894</v>
      </c>
      <c r="S237" s="118" t="str">
        <f t="shared" si="65"/>
        <v/>
      </c>
      <c r="T237" s="118">
        <f t="shared" si="66"/>
        <v>13.874053217182121</v>
      </c>
      <c r="U237" s="118">
        <f t="shared" si="67"/>
        <v>-11.280215715903308</v>
      </c>
      <c r="V237" s="118" t="e">
        <f t="shared" si="68"/>
        <v>#N/A</v>
      </c>
      <c r="W237" s="118" t="e">
        <f t="shared" si="69"/>
        <v>#N/A</v>
      </c>
      <c r="X237" s="118">
        <f>IF(OR(N237="",R237=""),NA(),10*LOG10((G237+'CMOS FOM coeff. calculation'!$Q$3)^'CMOS FOM coeff. calculation'!$P$3*(1000*E237)^'CMOS FOM coeff. calculation'!$N$3*R237^'CMOS FOM coeff. calculation'!$O$3*N237^'CMOS FOM coeff. calculation'!$M$3))</f>
        <v>20.542111244786064</v>
      </c>
      <c r="Y237" s="68"/>
      <c r="Z237" t="s">
        <v>582</v>
      </c>
      <c r="AA237" s="3" t="s">
        <v>599</v>
      </c>
    </row>
    <row r="238" spans="1:27">
      <c r="A238" t="s">
        <v>1805</v>
      </c>
      <c r="B238" t="s">
        <v>584</v>
      </c>
      <c r="C238" t="s">
        <v>585</v>
      </c>
      <c r="D238" s="7" t="s">
        <v>583</v>
      </c>
      <c r="E238" s="6">
        <v>6.5000000000000002E-2</v>
      </c>
      <c r="F238" s="1">
        <v>20</v>
      </c>
      <c r="G238" s="1">
        <v>82</v>
      </c>
      <c r="H238" s="1">
        <v>-5</v>
      </c>
      <c r="I238" s="1">
        <v>6.4</v>
      </c>
      <c r="J238" s="1">
        <v>-15.1</v>
      </c>
      <c r="L238" s="1">
        <v>13.5</v>
      </c>
      <c r="M238" s="1">
        <v>1.5</v>
      </c>
      <c r="N238" s="1">
        <v>47</v>
      </c>
      <c r="Q238" s="118">
        <f t="shared" si="63"/>
        <v>3.5225027401341324</v>
      </c>
      <c r="R238" s="119">
        <f t="shared" si="64"/>
        <v>1021.5257946388984</v>
      </c>
      <c r="S238" s="118">
        <f t="shared" si="65"/>
        <v>0.66092801659380074</v>
      </c>
      <c r="T238" s="118">
        <f t="shared" si="66"/>
        <v>14.111235818155984</v>
      </c>
      <c r="U238" s="118">
        <f t="shared" si="67"/>
        <v>-9.7744691659427154</v>
      </c>
      <c r="V238" s="118">
        <f t="shared" si="68"/>
        <v>-22.706805501668427</v>
      </c>
      <c r="W238" s="118">
        <f t="shared" si="69"/>
        <v>-18.370038849455156</v>
      </c>
      <c r="X238" s="118">
        <f>IF(OR(N238="",R238=""),NA(),10*LOG10((G238+'CMOS FOM coeff. calculation'!$Q$3)^'CMOS FOM coeff. calculation'!$P$3*(1000*E238)^'CMOS FOM coeff. calculation'!$N$3*R238^'CMOS FOM coeff. calculation'!$O$3*N238^'CMOS FOM coeff. calculation'!$M$3))</f>
        <v>21.926455183744409</v>
      </c>
      <c r="Y238" s="68"/>
      <c r="Z238" t="s">
        <v>586</v>
      </c>
    </row>
    <row r="239" spans="1:27">
      <c r="A239" t="s">
        <v>1833</v>
      </c>
      <c r="B239" t="s">
        <v>595</v>
      </c>
      <c r="C239" t="s">
        <v>596</v>
      </c>
      <c r="D239" s="7" t="s">
        <v>594</v>
      </c>
      <c r="E239" s="6">
        <v>0.09</v>
      </c>
      <c r="F239" s="1">
        <v>6.5</v>
      </c>
      <c r="G239" s="1">
        <v>3.25</v>
      </c>
      <c r="H239" s="1">
        <v>-10</v>
      </c>
      <c r="I239" s="1">
        <v>2.5</v>
      </c>
      <c r="K239" s="1">
        <v>-14.7</v>
      </c>
      <c r="L239" s="1">
        <v>16.5</v>
      </c>
      <c r="M239" s="1">
        <v>1.2</v>
      </c>
      <c r="N239" s="1">
        <v>9.1999999999999993</v>
      </c>
      <c r="O239" s="1">
        <v>1.6999999999999999E-3</v>
      </c>
      <c r="Q239" s="118">
        <f t="shared" si="63"/>
        <v>0.79610191182346146</v>
      </c>
      <c r="R239" s="119">
        <f t="shared" si="64"/>
        <v>230.86955442880384</v>
      </c>
      <c r="S239" s="118" t="str">
        <f t="shared" si="65"/>
        <v/>
      </c>
      <c r="T239" s="118">
        <f t="shared" si="66"/>
        <v>12.753190227470752</v>
      </c>
      <c r="U239" s="118">
        <f t="shared" si="67"/>
        <v>-10.043479038661232</v>
      </c>
      <c r="V239" s="118" t="e">
        <f t="shared" si="68"/>
        <v>#N/A</v>
      </c>
      <c r="W239" s="118" t="e">
        <f t="shared" si="69"/>
        <v>#N/A</v>
      </c>
      <c r="X239" s="118">
        <f>IF(OR(N239="",R239=""),NA(),10*LOG10((G239+'CMOS FOM coeff. calculation'!$Q$3)^'CMOS FOM coeff. calculation'!$P$3*(1000*E239)^'CMOS FOM coeff. calculation'!$N$3*R239^'CMOS FOM coeff. calculation'!$O$3*N239^'CMOS FOM coeff. calculation'!$M$3))</f>
        <v>15.317730554365379</v>
      </c>
      <c r="Y239" s="68"/>
      <c r="Z239" t="s">
        <v>597</v>
      </c>
    </row>
    <row r="240" spans="1:27">
      <c r="E240" s="6">
        <v>0.09</v>
      </c>
      <c r="F240" s="1">
        <v>6.5</v>
      </c>
      <c r="G240" s="1">
        <v>3.25</v>
      </c>
      <c r="H240" s="1">
        <v>-10</v>
      </c>
      <c r="I240" s="1">
        <v>2.7</v>
      </c>
      <c r="K240" s="1">
        <v>-4.3</v>
      </c>
      <c r="L240" s="1">
        <v>16.5</v>
      </c>
      <c r="M240" s="1">
        <v>1.2</v>
      </c>
      <c r="N240" s="1">
        <v>9.6999999999999993</v>
      </c>
      <c r="O240" s="1">
        <v>1.6999999999999999E-3</v>
      </c>
      <c r="Q240" s="118">
        <f t="shared" si="63"/>
        <v>0.88182882497353898</v>
      </c>
      <c r="R240" s="119">
        <f t="shared" si="64"/>
        <v>255.7303592423263</v>
      </c>
      <c r="S240" s="118" t="str">
        <f t="shared" si="65"/>
        <v/>
      </c>
      <c r="T240" s="118">
        <f t="shared" si="66"/>
        <v>13.273959490023934</v>
      </c>
      <c r="U240" s="118">
        <f t="shared" si="67"/>
        <v>-10.564248301214416</v>
      </c>
      <c r="V240" s="118" t="e">
        <f t="shared" si="68"/>
        <v>#N/A</v>
      </c>
      <c r="W240" s="118" t="e">
        <f t="shared" si="69"/>
        <v>#N/A</v>
      </c>
      <c r="X240" s="118">
        <f>IF(OR(N240="",R240=""),NA(),10*LOG10((G240+'CMOS FOM coeff. calculation'!$Q$3)^'CMOS FOM coeff. calculation'!$P$3*(1000*E240)^'CMOS FOM coeff. calculation'!$N$3*R240^'CMOS FOM coeff. calculation'!$O$3*N240^'CMOS FOM coeff. calculation'!$M$3))</f>
        <v>14.872022124988201</v>
      </c>
      <c r="Y240" s="68"/>
      <c r="AA240" s="3" t="s">
        <v>431</v>
      </c>
    </row>
    <row r="241" spans="1:27">
      <c r="E241" s="1">
        <v>0.13</v>
      </c>
      <c r="G241" s="1">
        <v>3.4</v>
      </c>
      <c r="H241" s="1">
        <v>-15</v>
      </c>
      <c r="I241" s="1">
        <v>2.2000000000000002</v>
      </c>
      <c r="K241" s="1">
        <v>-11.5</v>
      </c>
      <c r="L241" s="1">
        <v>20.8</v>
      </c>
      <c r="N241" s="1">
        <v>3.8</v>
      </c>
      <c r="O241" s="1">
        <v>4.0000000000000001E-3</v>
      </c>
      <c r="Q241" s="118">
        <f t="shared" si="63"/>
        <v>0.6651191273737298</v>
      </c>
      <c r="R241" s="119">
        <f t="shared" si="64"/>
        <v>192.88454693838165</v>
      </c>
      <c r="S241" s="118" t="str">
        <f t="shared" si="65"/>
        <v/>
      </c>
      <c r="T241" s="118">
        <f t="shared" si="66"/>
        <v>8.4325022180968308</v>
      </c>
      <c r="U241" s="118" t="e">
        <f t="shared" si="67"/>
        <v>#N/A</v>
      </c>
      <c r="V241" s="118" t="e">
        <f t="shared" si="68"/>
        <v>#N/A</v>
      </c>
      <c r="W241" s="118" t="e">
        <f t="shared" si="69"/>
        <v>#N/A</v>
      </c>
      <c r="X241" s="118">
        <f>IF(OR(N241="",R241=""),NA(),10*LOG10((G241+'CMOS FOM coeff. calculation'!$Q$3)^'CMOS FOM coeff. calculation'!$P$3*(1000*E241)^'CMOS FOM coeff. calculation'!$N$3*R241^'CMOS FOM coeff. calculation'!$O$3*N241^'CMOS FOM coeff. calculation'!$M$3))</f>
        <v>17.980612711734334</v>
      </c>
      <c r="Y241" s="68"/>
    </row>
    <row r="242" spans="1:27">
      <c r="E242" s="1">
        <v>0.13</v>
      </c>
      <c r="G242" s="1">
        <v>2</v>
      </c>
      <c r="H242" s="1">
        <v>-10</v>
      </c>
      <c r="I242" s="1">
        <v>2.1</v>
      </c>
      <c r="K242" s="1">
        <v>-16</v>
      </c>
      <c r="L242" s="1">
        <v>23</v>
      </c>
      <c r="N242" s="1">
        <v>3.8</v>
      </c>
      <c r="O242" s="1">
        <v>6.4999999999999997E-3</v>
      </c>
      <c r="Q242" s="118">
        <f t="shared" si="63"/>
        <v>0.62494222802332899</v>
      </c>
      <c r="R242" s="119">
        <f t="shared" si="64"/>
        <v>181.23324612676541</v>
      </c>
      <c r="S242" s="118" t="str">
        <f t="shared" si="65"/>
        <v/>
      </c>
      <c r="T242" s="118">
        <f t="shared" si="66"/>
        <v>9.6982327009468232</v>
      </c>
      <c r="U242" s="118" t="e">
        <f t="shared" si="67"/>
        <v>#N/A</v>
      </c>
      <c r="V242" s="118" t="e">
        <f t="shared" si="68"/>
        <v>#N/A</v>
      </c>
      <c r="W242" s="118" t="e">
        <f t="shared" si="69"/>
        <v>#N/A</v>
      </c>
      <c r="X242" s="118">
        <f>IF(OR(N242="",R242=""),NA(),10*LOG10((G242+'CMOS FOM coeff. calculation'!$Q$3)^'CMOS FOM coeff. calculation'!$P$3*(1000*E242)^'CMOS FOM coeff. calculation'!$N$3*R242^'CMOS FOM coeff. calculation'!$O$3*N242^'CMOS FOM coeff. calculation'!$M$3))</f>
        <v>17.504195740008612</v>
      </c>
      <c r="Y242" s="68"/>
      <c r="AA242" s="3" t="s">
        <v>5</v>
      </c>
    </row>
    <row r="243" spans="1:27">
      <c r="E243" s="1">
        <v>0.13</v>
      </c>
      <c r="G243" s="1">
        <v>5</v>
      </c>
      <c r="H243" s="1">
        <v>-10</v>
      </c>
      <c r="I243" s="1">
        <v>2.1</v>
      </c>
      <c r="K243" s="1">
        <v>-10</v>
      </c>
      <c r="L243" s="1">
        <v>20</v>
      </c>
      <c r="N243" s="1">
        <v>3.8</v>
      </c>
      <c r="Q243" s="118">
        <f t="shared" si="63"/>
        <v>0.62809100743326285</v>
      </c>
      <c r="R243" s="119">
        <f t="shared" si="64"/>
        <v>182.14639215564623</v>
      </c>
      <c r="S243" s="118" t="str">
        <f t="shared" si="65"/>
        <v/>
      </c>
      <c r="T243" s="118">
        <f t="shared" si="66"/>
        <v>7.0671263509711899</v>
      </c>
      <c r="U243" s="118" t="e">
        <f t="shared" si="67"/>
        <v>#N/A</v>
      </c>
      <c r="V243" s="118" t="e">
        <f t="shared" si="68"/>
        <v>#N/A</v>
      </c>
      <c r="W243" s="118" t="e">
        <f t="shared" si="69"/>
        <v>#N/A</v>
      </c>
      <c r="X243" s="118">
        <f>IF(OR(N243="",R243=""),NA(),10*LOG10((G243+'CMOS FOM coeff. calculation'!$Q$3)^'CMOS FOM coeff. calculation'!$P$3*(1000*E243)^'CMOS FOM coeff. calculation'!$N$3*R243^'CMOS FOM coeff. calculation'!$O$3*N243^'CMOS FOM coeff. calculation'!$M$3))</f>
        <v>18.960275686172828</v>
      </c>
      <c r="Y243" s="68"/>
      <c r="AA243" s="3" t="s">
        <v>598</v>
      </c>
    </row>
    <row r="244" spans="1:27">
      <c r="A244" t="s">
        <v>1503</v>
      </c>
      <c r="B244" t="s">
        <v>601</v>
      </c>
      <c r="C244" t="s">
        <v>602</v>
      </c>
      <c r="D244" s="7" t="s">
        <v>600</v>
      </c>
      <c r="E244" s="6">
        <v>0.13</v>
      </c>
      <c r="F244" s="1">
        <v>1.4</v>
      </c>
      <c r="G244" s="1">
        <v>5.3</v>
      </c>
      <c r="H244" s="1">
        <v>-10</v>
      </c>
      <c r="I244" s="1">
        <v>2.6</v>
      </c>
      <c r="K244" s="1">
        <v>-9</v>
      </c>
      <c r="L244" s="1">
        <v>14.8</v>
      </c>
      <c r="M244" s="1">
        <v>1.2</v>
      </c>
      <c r="N244" s="1">
        <v>6.6</v>
      </c>
      <c r="O244" s="1">
        <v>0.14000000000000001</v>
      </c>
      <c r="Q244" s="118">
        <f t="shared" si="63"/>
        <v>0.84777326997496094</v>
      </c>
      <c r="R244" s="119">
        <f t="shared" si="64"/>
        <v>245.85424829273867</v>
      </c>
      <c r="S244" s="118" t="str">
        <f t="shared" si="65"/>
        <v/>
      </c>
      <c r="T244" s="118">
        <f t="shared" si="66"/>
        <v>9.0001931498371768</v>
      </c>
      <c r="U244" s="118">
        <f t="shared" si="67"/>
        <v>-8.5130996975763829</v>
      </c>
      <c r="V244" s="118" t="e">
        <f t="shared" si="68"/>
        <v>#N/A</v>
      </c>
      <c r="W244" s="118" t="e">
        <f t="shared" si="69"/>
        <v>#N/A</v>
      </c>
      <c r="X244" s="118">
        <f>IF(OR(N244="",R244=""),NA(),10*LOG10((G244+'CMOS FOM coeff. calculation'!$Q$3)^'CMOS FOM coeff. calculation'!$P$3*(1000*E244)^'CMOS FOM coeff. calculation'!$N$3*R244^'CMOS FOM coeff. calculation'!$O$3*N244^'CMOS FOM coeff. calculation'!$M$3))</f>
        <v>17.443108367709247</v>
      </c>
      <c r="Y244" s="68"/>
      <c r="Z244" t="s">
        <v>603</v>
      </c>
    </row>
    <row r="245" spans="1:27">
      <c r="A245" t="s">
        <v>1503</v>
      </c>
      <c r="B245" t="s">
        <v>605</v>
      </c>
      <c r="C245" t="s">
        <v>606</v>
      </c>
      <c r="D245" s="7" t="s">
        <v>604</v>
      </c>
      <c r="E245" s="6">
        <v>0.13</v>
      </c>
      <c r="F245" s="1">
        <v>8</v>
      </c>
      <c r="G245" s="1">
        <v>7</v>
      </c>
      <c r="H245" s="1">
        <v>-7.5</v>
      </c>
      <c r="I245" s="1">
        <v>2.9</v>
      </c>
      <c r="K245" s="1">
        <v>6.5</v>
      </c>
      <c r="L245" s="1">
        <v>10</v>
      </c>
      <c r="M245" s="1">
        <v>1.3</v>
      </c>
      <c r="N245" s="1">
        <v>2.4</v>
      </c>
      <c r="P245" s="1">
        <v>0.38</v>
      </c>
      <c r="Q245" s="118">
        <f t="shared" si="63"/>
        <v>1.0553828886200505</v>
      </c>
      <c r="R245" s="119">
        <f t="shared" si="64"/>
        <v>306.06103769981462</v>
      </c>
      <c r="S245" s="118" t="str">
        <f t="shared" si="65"/>
        <v/>
      </c>
      <c r="T245" s="118">
        <f t="shared" si="66"/>
        <v>7.681572993122038</v>
      </c>
      <c r="U245" s="118">
        <f t="shared" si="67"/>
        <v>-4.6712730364822264</v>
      </c>
      <c r="V245" s="118" t="e">
        <f t="shared" si="68"/>
        <v>#N/A</v>
      </c>
      <c r="W245" s="118" t="e">
        <f t="shared" si="69"/>
        <v>#N/A</v>
      </c>
      <c r="X245" s="118">
        <f>IF(OR(N245="",R245=""),NA(),10*LOG10((G245+'CMOS FOM coeff. calculation'!$Q$3)^'CMOS FOM coeff. calculation'!$P$3*(1000*E245)^'CMOS FOM coeff. calculation'!$N$3*R245^'CMOS FOM coeff. calculation'!$O$3*N245^'CMOS FOM coeff. calculation'!$M$3))</f>
        <v>18.191625783766476</v>
      </c>
      <c r="Y245" s="68"/>
      <c r="Z245" t="s">
        <v>607</v>
      </c>
    </row>
    <row r="246" spans="1:27">
      <c r="E246" s="6">
        <v>0.13</v>
      </c>
      <c r="F246" s="1">
        <v>7.6</v>
      </c>
      <c r="G246" s="1">
        <v>4.5999999999999996</v>
      </c>
      <c r="H246" s="1">
        <v>-5</v>
      </c>
      <c r="I246" s="1">
        <v>3.3</v>
      </c>
      <c r="K246" s="1">
        <v>3.9</v>
      </c>
      <c r="L246" s="1">
        <v>12.6</v>
      </c>
      <c r="M246" s="1">
        <v>1.3</v>
      </c>
      <c r="N246" s="1">
        <v>2.6</v>
      </c>
      <c r="P246" s="1">
        <v>0.57999999999999996</v>
      </c>
      <c r="Q246" s="118">
        <f t="shared" si="63"/>
        <v>1.2041341847131419</v>
      </c>
      <c r="R246" s="119">
        <f t="shared" si="64"/>
        <v>349.19891356681114</v>
      </c>
      <c r="S246" s="118" t="str">
        <f t="shared" si="65"/>
        <v/>
      </c>
      <c r="T246" s="118">
        <f t="shared" si="66"/>
        <v>9.5856964441291712</v>
      </c>
      <c r="U246" s="118">
        <f t="shared" si="67"/>
        <v>-6.6496511365265345</v>
      </c>
      <c r="V246" s="118" t="e">
        <f t="shared" si="68"/>
        <v>#N/A</v>
      </c>
      <c r="W246" s="118" t="e">
        <f t="shared" si="69"/>
        <v>#N/A</v>
      </c>
      <c r="X246" s="118">
        <f>IF(OR(N246="",R246=""),NA(),10*LOG10((G246+'CMOS FOM coeff. calculation'!$Q$3)^'CMOS FOM coeff. calculation'!$P$3*(1000*E246)^'CMOS FOM coeff. calculation'!$N$3*R246^'CMOS FOM coeff. calculation'!$O$3*N246^'CMOS FOM coeff. calculation'!$M$3))</f>
        <v>16.563157800813922</v>
      </c>
      <c r="Y246" s="68"/>
      <c r="AA246" s="3" t="s">
        <v>440</v>
      </c>
    </row>
    <row r="247" spans="1:27">
      <c r="E247" s="6">
        <v>0.13</v>
      </c>
      <c r="F247" s="1">
        <v>6.6</v>
      </c>
      <c r="G247" s="1">
        <v>4.8</v>
      </c>
      <c r="H247" s="1">
        <v>-5</v>
      </c>
      <c r="I247" s="1">
        <v>3.6</v>
      </c>
      <c r="K247" s="1">
        <v>11.7</v>
      </c>
      <c r="L247" s="1">
        <v>11.7</v>
      </c>
      <c r="M247" s="1">
        <v>1.3</v>
      </c>
      <c r="N247" s="1">
        <v>2.62</v>
      </c>
      <c r="P247" s="1">
        <v>0.57999999999999996</v>
      </c>
      <c r="Q247" s="118">
        <f t="shared" si="63"/>
        <v>1.3844692626080526</v>
      </c>
      <c r="R247" s="119">
        <f t="shared" si="64"/>
        <v>401.49608615633525</v>
      </c>
      <c r="S247" s="118" t="str">
        <f t="shared" si="65"/>
        <v/>
      </c>
      <c r="T247" s="118">
        <f t="shared" si="66"/>
        <v>10.079651206161399</v>
      </c>
      <c r="U247" s="118">
        <f t="shared" si="67"/>
        <v>-7.3478380876885048</v>
      </c>
      <c r="V247" s="118" t="e">
        <f t="shared" si="68"/>
        <v>#N/A</v>
      </c>
      <c r="W247" s="118" t="e">
        <f t="shared" si="69"/>
        <v>#N/A</v>
      </c>
      <c r="X247" s="118">
        <f>IF(OR(N247="",R247=""),NA(),10*LOG10((G247+'CMOS FOM coeff. calculation'!$Q$3)^'CMOS FOM coeff. calculation'!$P$3*(1000*E247)^'CMOS FOM coeff. calculation'!$N$3*R247^'CMOS FOM coeff. calculation'!$O$3*N247^'CMOS FOM coeff. calculation'!$M$3))</f>
        <v>16.102941057952748</v>
      </c>
      <c r="Y247" s="68"/>
    </row>
    <row r="248" spans="1:27">
      <c r="A248" t="s">
        <v>1507</v>
      </c>
      <c r="B248" t="s">
        <v>609</v>
      </c>
      <c r="C248" t="s">
        <v>610</v>
      </c>
      <c r="D248" s="7" t="s">
        <v>608</v>
      </c>
      <c r="E248" s="6">
        <v>0.18</v>
      </c>
      <c r="F248" s="1">
        <v>0.13</v>
      </c>
      <c r="G248" s="1">
        <v>0.65500000000000003</v>
      </c>
      <c r="H248" s="1">
        <v>-10</v>
      </c>
      <c r="I248" s="1">
        <v>1.8</v>
      </c>
      <c r="K248" s="1">
        <v>-1</v>
      </c>
      <c r="L248" s="1">
        <v>25</v>
      </c>
      <c r="M248" s="1">
        <v>2.1</v>
      </c>
      <c r="N248" s="1">
        <v>46.2</v>
      </c>
      <c r="O248" s="1">
        <v>1.5</v>
      </c>
      <c r="Q248" s="118">
        <f t="shared" si="63"/>
        <v>0.5151904236035022</v>
      </c>
      <c r="R248" s="119">
        <f t="shared" si="64"/>
        <v>149.40522284501563</v>
      </c>
      <c r="S248" s="118" t="str">
        <f t="shared" si="65"/>
        <v/>
      </c>
      <c r="T248" s="118">
        <f t="shared" si="66"/>
        <v>13.823242334496221</v>
      </c>
      <c r="U248" s="118">
        <f t="shared" si="67"/>
        <v>-16.776764493473433</v>
      </c>
      <c r="V248" s="118" t="e">
        <f t="shared" si="68"/>
        <v>#N/A</v>
      </c>
      <c r="W248" s="118" t="e">
        <f t="shared" si="69"/>
        <v>#N/A</v>
      </c>
      <c r="X248" s="118">
        <f>IF(OR(N248="",R248=""),NA(),10*LOG10((G248+'CMOS FOM coeff. calculation'!$Q$3)^'CMOS FOM coeff. calculation'!$P$3*(1000*E248)^'CMOS FOM coeff. calculation'!$N$3*R248^'CMOS FOM coeff. calculation'!$O$3*N248^'CMOS FOM coeff. calculation'!$M$3))</f>
        <v>16.325784690745348</v>
      </c>
      <c r="Y248" s="68"/>
      <c r="Z248" t="s">
        <v>611</v>
      </c>
      <c r="AA248" s="3" t="s">
        <v>5</v>
      </c>
    </row>
    <row r="249" spans="1:27">
      <c r="E249" s="1">
        <v>0.18</v>
      </c>
      <c r="F249" s="1">
        <v>4.4999999999999998E-2</v>
      </c>
      <c r="G249" s="1">
        <v>0.72050000000000003</v>
      </c>
      <c r="H249" s="1">
        <v>-6</v>
      </c>
      <c r="I249" s="1">
        <v>1.5</v>
      </c>
      <c r="K249" s="1">
        <v>-2</v>
      </c>
      <c r="L249" s="1">
        <v>25</v>
      </c>
      <c r="M249" s="1">
        <v>2.1</v>
      </c>
      <c r="N249" s="1">
        <v>30.45</v>
      </c>
      <c r="Q249" s="118">
        <f t="shared" si="63"/>
        <v>0.4138462413465091</v>
      </c>
      <c r="R249" s="119">
        <f t="shared" si="64"/>
        <v>120.01540999048764</v>
      </c>
      <c r="S249" s="118" t="str">
        <f t="shared" si="65"/>
        <v/>
      </c>
      <c r="T249" s="118">
        <f t="shared" si="66"/>
        <v>11.992487839352151</v>
      </c>
      <c r="U249" s="118">
        <f t="shared" si="67"/>
        <v>-16.481779460101006</v>
      </c>
      <c r="V249" s="118" t="e">
        <f t="shared" si="68"/>
        <v>#N/A</v>
      </c>
      <c r="W249" s="118" t="e">
        <f t="shared" si="69"/>
        <v>#N/A</v>
      </c>
      <c r="X249" s="118">
        <f>IF(OR(N249="",R249=""),NA(),10*LOG10((G249+'CMOS FOM coeff. calculation'!$Q$3)^'CMOS FOM coeff. calculation'!$P$3*(1000*E249)^'CMOS FOM coeff. calculation'!$N$3*R249^'CMOS FOM coeff. calculation'!$O$3*N249^'CMOS FOM coeff. calculation'!$M$3))</f>
        <v>17.582267363992926</v>
      </c>
      <c r="Y249" s="68"/>
      <c r="AA249" s="3" t="s">
        <v>445</v>
      </c>
    </row>
    <row r="250" spans="1:27">
      <c r="A250" t="s">
        <v>1507</v>
      </c>
      <c r="B250" t="s">
        <v>613</v>
      </c>
      <c r="C250" t="s">
        <v>614</v>
      </c>
      <c r="D250" s="7" t="s">
        <v>612</v>
      </c>
      <c r="E250" s="6">
        <v>0.18</v>
      </c>
      <c r="F250" s="1">
        <v>0.55200000000000005</v>
      </c>
      <c r="G250" s="1">
        <v>0.32400000000000001</v>
      </c>
      <c r="H250" s="1">
        <v>-10</v>
      </c>
      <c r="I250" s="1">
        <v>3</v>
      </c>
      <c r="K250" s="1">
        <v>3</v>
      </c>
      <c r="L250" s="1">
        <v>14</v>
      </c>
      <c r="M250" s="1">
        <v>2.2000000000000002</v>
      </c>
      <c r="N250" s="1">
        <v>34.76</v>
      </c>
      <c r="O250" s="1">
        <v>0.16</v>
      </c>
      <c r="Q250" s="118">
        <f t="shared" si="63"/>
        <v>1.0365272062990223</v>
      </c>
      <c r="R250" s="119">
        <f t="shared" si="64"/>
        <v>300.59288982671649</v>
      </c>
      <c r="S250" s="118" t="str">
        <f t="shared" si="65"/>
        <v/>
      </c>
      <c r="T250" s="118">
        <f t="shared" si="66"/>
        <v>18.485472813953979</v>
      </c>
      <c r="U250" s="118">
        <f t="shared" si="67"/>
        <v>-19.345675888189984</v>
      </c>
      <c r="V250" s="118" t="e">
        <f t="shared" si="68"/>
        <v>#N/A</v>
      </c>
      <c r="W250" s="118" t="e">
        <f t="shared" si="69"/>
        <v>#N/A</v>
      </c>
      <c r="X250" s="118">
        <f>IF(OR(N250="",R250=""),NA(),10*LOG10((G250+'CMOS FOM coeff. calculation'!$Q$3)^'CMOS FOM coeff. calculation'!$P$3*(1000*E250)^'CMOS FOM coeff. calculation'!$N$3*R250^'CMOS FOM coeff. calculation'!$O$3*N250^'CMOS FOM coeff. calculation'!$M$3))</f>
        <v>13.644664472188332</v>
      </c>
      <c r="Y250" s="68"/>
      <c r="Z250" t="s">
        <v>2089</v>
      </c>
    </row>
    <row r="251" spans="1:27">
      <c r="A251" t="s">
        <v>1530</v>
      </c>
      <c r="B251" t="s">
        <v>616</v>
      </c>
      <c r="C251" t="s">
        <v>617</v>
      </c>
      <c r="D251" s="7" t="s">
        <v>615</v>
      </c>
      <c r="E251" s="6">
        <v>0.13</v>
      </c>
      <c r="G251" s="1">
        <v>2.4</v>
      </c>
      <c r="H251" s="1">
        <v>-10.7</v>
      </c>
      <c r="I251" s="1">
        <v>2</v>
      </c>
      <c r="J251" s="1">
        <v>-35</v>
      </c>
      <c r="K251" s="1">
        <v>-22.4</v>
      </c>
      <c r="L251" s="1">
        <v>28.3</v>
      </c>
      <c r="M251" s="1">
        <v>1.2</v>
      </c>
      <c r="N251" s="1">
        <v>4.8</v>
      </c>
      <c r="P251" s="1">
        <v>0.60299999999999998</v>
      </c>
      <c r="Q251" s="118">
        <f t="shared" si="63"/>
        <v>0.58575959439062675</v>
      </c>
      <c r="R251" s="119">
        <f t="shared" si="64"/>
        <v>169.87028237328175</v>
      </c>
      <c r="S251" s="118">
        <f t="shared" si="65"/>
        <v>0.21347998118420641</v>
      </c>
      <c r="T251" s="118">
        <f t="shared" si="66"/>
        <v>9.2273452571858332</v>
      </c>
      <c r="U251" s="118" t="e">
        <f t="shared" si="67"/>
        <v>#N/A</v>
      </c>
      <c r="V251" s="118">
        <f t="shared" si="68"/>
        <v>-12.04747417565423</v>
      </c>
      <c r="W251" s="118" t="e">
        <f t="shared" si="69"/>
        <v>#N/A</v>
      </c>
      <c r="X251" s="118">
        <f>IF(OR(N251="",R251=""),NA(),10*LOG10((G251+'CMOS FOM coeff. calculation'!$Q$3)^'CMOS FOM coeff. calculation'!$P$3*(1000*E251)^'CMOS FOM coeff. calculation'!$N$3*R251^'CMOS FOM coeff. calculation'!$O$3*N251^'CMOS FOM coeff. calculation'!$M$3))</f>
        <v>17.766226073815016</v>
      </c>
      <c r="Y251" s="68"/>
      <c r="Z251" t="s">
        <v>2090</v>
      </c>
      <c r="AA251" s="3" t="s">
        <v>5</v>
      </c>
    </row>
    <row r="252" spans="1:27">
      <c r="E252" s="6">
        <v>0.13</v>
      </c>
      <c r="F252" s="1">
        <v>0.5</v>
      </c>
      <c r="G252" s="1">
        <v>2.4</v>
      </c>
      <c r="H252" s="1">
        <v>-7.6</v>
      </c>
      <c r="I252" s="1">
        <v>1.2</v>
      </c>
      <c r="K252" s="1">
        <v>-21.5</v>
      </c>
      <c r="L252" s="1">
        <v>32</v>
      </c>
      <c r="M252" s="1">
        <v>1.2</v>
      </c>
      <c r="N252" s="1">
        <v>4.2</v>
      </c>
      <c r="P252" s="1">
        <v>0.57799999999999996</v>
      </c>
      <c r="Q252" s="118">
        <f t="shared" si="63"/>
        <v>0.31845767176331236</v>
      </c>
      <c r="R252" s="119">
        <f t="shared" si="64"/>
        <v>92.352724811360588</v>
      </c>
      <c r="S252" s="118" t="str">
        <f t="shared" si="65"/>
        <v/>
      </c>
      <c r="T252" s="118">
        <f t="shared" si="66"/>
        <v>6.3873618157847307</v>
      </c>
      <c r="U252" s="118">
        <f t="shared" si="67"/>
        <v>-7.3907951346646676</v>
      </c>
      <c r="V252" s="118" t="e">
        <f t="shared" si="68"/>
        <v>#N/A</v>
      </c>
      <c r="W252" s="118" t="e">
        <f t="shared" si="69"/>
        <v>#N/A</v>
      </c>
      <c r="X252" s="118">
        <f>IF(OR(N252="",R252=""),NA(),10*LOG10((G252+'CMOS FOM coeff. calculation'!$Q$3)^'CMOS FOM coeff. calculation'!$P$3*(1000*E252)^'CMOS FOM coeff. calculation'!$N$3*R252^'CMOS FOM coeff. calculation'!$O$3*N252^'CMOS FOM coeff. calculation'!$M$3))</f>
        <v>20.264219224098316</v>
      </c>
      <c r="Y252" s="68"/>
      <c r="AA252" s="3" t="s">
        <v>5</v>
      </c>
    </row>
    <row r="253" spans="1:27">
      <c r="A253" t="s">
        <v>1542</v>
      </c>
      <c r="B253" s="8" t="s">
        <v>618</v>
      </c>
      <c r="C253" t="s">
        <v>620</v>
      </c>
      <c r="D253" s="7" t="s">
        <v>619</v>
      </c>
      <c r="E253" s="1">
        <v>0.18</v>
      </c>
      <c r="F253" s="1">
        <v>9</v>
      </c>
      <c r="G253" s="1">
        <v>27.5</v>
      </c>
      <c r="H253" s="1">
        <v>-10</v>
      </c>
      <c r="I253" s="1">
        <v>4.5</v>
      </c>
      <c r="K253" s="1">
        <v>-4.5</v>
      </c>
      <c r="L253" s="1">
        <v>12</v>
      </c>
      <c r="M253" s="1">
        <v>1.5</v>
      </c>
      <c r="N253" s="1">
        <v>13</v>
      </c>
      <c r="O253" s="1">
        <v>0.25</v>
      </c>
      <c r="Q253" s="118">
        <f t="shared" si="63"/>
        <v>1.9408417680681034</v>
      </c>
      <c r="R253" s="119">
        <f t="shared" si="64"/>
        <v>562.84411273975002</v>
      </c>
      <c r="S253" s="118" t="str">
        <f t="shared" si="65"/>
        <v/>
      </c>
      <c r="T253" s="118">
        <f t="shared" si="66"/>
        <v>6.9271944464273991</v>
      </c>
      <c r="U253" s="118">
        <f t="shared" si="67"/>
        <v>-3.7463860816296495</v>
      </c>
      <c r="V253" s="118" t="e">
        <f t="shared" si="68"/>
        <v>#N/A</v>
      </c>
      <c r="W253" s="118" t="e">
        <f t="shared" si="69"/>
        <v>#N/A</v>
      </c>
      <c r="X253" s="118">
        <f>IF(OR(N253="",R253=""),NA(),10*LOG10((G253+'CMOS FOM coeff. calculation'!$Q$3)^'CMOS FOM coeff. calculation'!$P$3*(1000*E253)^'CMOS FOM coeff. calculation'!$N$3*R253^'CMOS FOM coeff. calculation'!$O$3*N253^'CMOS FOM coeff. calculation'!$M$3))</f>
        <v>21.208248780408617</v>
      </c>
      <c r="Y253" s="68"/>
      <c r="Z253" t="s">
        <v>2091</v>
      </c>
      <c r="AA253" s="3" t="s">
        <v>5</v>
      </c>
    </row>
    <row r="254" spans="1:27">
      <c r="A254" t="s">
        <v>1834</v>
      </c>
      <c r="B254" s="8" t="s">
        <v>622</v>
      </c>
      <c r="C254" t="s">
        <v>623</v>
      </c>
      <c r="D254" s="7" t="s">
        <v>621</v>
      </c>
      <c r="E254" s="1">
        <v>0.18</v>
      </c>
      <c r="F254" s="1">
        <v>1.1599999999999999</v>
      </c>
      <c r="G254" s="1">
        <v>0.62</v>
      </c>
      <c r="H254" s="1">
        <v>-9</v>
      </c>
      <c r="I254" s="1">
        <v>2.1</v>
      </c>
      <c r="K254" s="1">
        <v>0</v>
      </c>
      <c r="L254" s="1">
        <v>16.399999999999999</v>
      </c>
      <c r="M254" s="1">
        <v>1.8</v>
      </c>
      <c r="N254" s="1">
        <v>14.4</v>
      </c>
      <c r="O254" s="1">
        <v>3.5799999999999998E-2</v>
      </c>
      <c r="P254" s="1">
        <v>0.27700000000000002</v>
      </c>
      <c r="Q254" s="118">
        <f t="shared" si="63"/>
        <v>0.63638892539663816</v>
      </c>
      <c r="R254" s="119">
        <f t="shared" si="64"/>
        <v>184.55278836502507</v>
      </c>
      <c r="S254" s="118" t="str">
        <f t="shared" si="65"/>
        <v/>
      </c>
      <c r="T254" s="118">
        <f t="shared" si="66"/>
        <v>13.21218977564806</v>
      </c>
      <c r="U254" s="118">
        <f t="shared" si="67"/>
        <v>-12.997329811558332</v>
      </c>
      <c r="V254" s="118" t="e">
        <f t="shared" si="68"/>
        <v>#N/A</v>
      </c>
      <c r="W254" s="118" t="e">
        <f t="shared" si="69"/>
        <v>#N/A</v>
      </c>
      <c r="X254" s="118">
        <f>IF(OR(N254="",R254=""),NA(),10*LOG10((G254+'CMOS FOM coeff. calculation'!$Q$3)^'CMOS FOM coeff. calculation'!$P$3*(1000*E254)^'CMOS FOM coeff. calculation'!$N$3*R254^'CMOS FOM coeff. calculation'!$O$3*N254^'CMOS FOM coeff. calculation'!$M$3))</f>
        <v>16.492061123281523</v>
      </c>
      <c r="Y254" s="68"/>
      <c r="Z254" t="s">
        <v>2092</v>
      </c>
      <c r="AA254" s="3" t="s">
        <v>5</v>
      </c>
    </row>
    <row r="255" spans="1:27">
      <c r="A255" t="s">
        <v>1570</v>
      </c>
      <c r="B255" s="8" t="s">
        <v>626</v>
      </c>
      <c r="C255" t="s">
        <v>625</v>
      </c>
      <c r="D255" s="7" t="s">
        <v>624</v>
      </c>
      <c r="E255" s="6">
        <v>6.5000000000000002E-2</v>
      </c>
      <c r="F255" s="1">
        <v>10.4</v>
      </c>
      <c r="G255" s="1">
        <v>60</v>
      </c>
      <c r="I255" s="1">
        <v>5.5</v>
      </c>
      <c r="L255" s="1">
        <v>8.4</v>
      </c>
      <c r="N255" s="1">
        <v>39</v>
      </c>
      <c r="Q255" s="118">
        <f t="shared" si="63"/>
        <v>2.9786848465008049</v>
      </c>
      <c r="R255" s="119">
        <f t="shared" si="64"/>
        <v>863.81860548523343</v>
      </c>
      <c r="S255" s="118" t="str">
        <f t="shared" si="65"/>
        <v/>
      </c>
      <c r="T255" s="118">
        <f t="shared" si="66"/>
        <v>14.017274492586777</v>
      </c>
      <c r="U255" s="118">
        <f t="shared" si="67"/>
        <v>-10.627163361590842</v>
      </c>
      <c r="V255" s="118" t="e">
        <f t="shared" si="68"/>
        <v>#N/A</v>
      </c>
      <c r="W255" s="118" t="e">
        <f t="shared" si="69"/>
        <v>#N/A</v>
      </c>
      <c r="X255" s="118">
        <f>IF(OR(N255="",R255=""),NA(),10*LOG10((G255+'CMOS FOM coeff. calculation'!$Q$3)^'CMOS FOM coeff. calculation'!$P$3*(1000*E255)^'CMOS FOM coeff. calculation'!$N$3*R255^'CMOS FOM coeff. calculation'!$O$3*N255^'CMOS FOM coeff. calculation'!$M$3))</f>
        <v>20.488539402672195</v>
      </c>
      <c r="Y255" s="68"/>
      <c r="Z255" t="s">
        <v>627</v>
      </c>
      <c r="AA255" s="3" t="s">
        <v>5</v>
      </c>
    </row>
    <row r="256" spans="1:27">
      <c r="A256" t="s">
        <v>1577</v>
      </c>
      <c r="B256" s="8" t="s">
        <v>632</v>
      </c>
      <c r="C256" t="s">
        <v>633</v>
      </c>
      <c r="D256" s="39" t="s">
        <v>1861</v>
      </c>
      <c r="E256" s="6">
        <v>6.5000000000000002E-2</v>
      </c>
      <c r="F256" s="1">
        <v>10</v>
      </c>
      <c r="G256" s="1">
        <v>87</v>
      </c>
      <c r="H256" s="1">
        <v>-17</v>
      </c>
      <c r="I256" s="1">
        <v>6.8</v>
      </c>
      <c r="L256" s="1">
        <v>27.5</v>
      </c>
      <c r="M256" s="1">
        <v>1.2</v>
      </c>
      <c r="N256" s="1">
        <v>36</v>
      </c>
      <c r="Q256" s="118">
        <f t="shared" ref="Q256:Q287" si="70">IF(OR(I256="",L256=""),"",(10^(I256/10)-1)*10^(L256/10)/(10^(L256/10)-1))</f>
        <v>3.7930460188630573</v>
      </c>
      <c r="R256" s="119">
        <f t="shared" ref="R256:R287" si="71">IF(Q256="","",290*Q256)</f>
        <v>1099.9833454702866</v>
      </c>
      <c r="S256" s="118" t="str">
        <f t="shared" ref="S256:S287" si="72">IF(OR(J256="",L256=""),"",10^(J256/10)*(10^(L256/10)-1))</f>
        <v/>
      </c>
      <c r="T256" s="118">
        <f t="shared" ref="T256:T287" si="73">IF(OR(Q256="",N256="",E256="",G256=""),NA(),10*LOG10(Q256*N256^(1/3)*E256^(-4/3)*G256^(-2/3)))</f>
        <v>13.875249681014397</v>
      </c>
      <c r="U256" s="118">
        <f t="shared" ref="U256:U287" si="74">IF(OR(ISNA(T256),F256=""),NA(),10*LOG10(F256^(1/3))-T256)</f>
        <v>-10.541916347681063</v>
      </c>
      <c r="V256" s="118" t="e">
        <f t="shared" ref="V256:V287" si="75">IF(OR(ISNA(T256),S256=""),NA(),10*LOG10(S256^(1/3)*E256*G256^(1/3)/Q256/N256^(2/3)))</f>
        <v>#N/A</v>
      </c>
      <c r="W256" s="118" t="e">
        <f t="shared" ref="W256:W287" si="76">IF(OR(ISNA(V256),F256=""),NA(),V256+10*LOG10(F256^(1/3)))</f>
        <v>#N/A</v>
      </c>
      <c r="X256" s="118">
        <f>IF(OR(N256="",R256=""),NA(),10*LOG10((G256+'CMOS FOM coeff. calculation'!$Q$3)^'CMOS FOM coeff. calculation'!$P$3*(1000*E256)^'CMOS FOM coeff. calculation'!$N$3*R256^'CMOS FOM coeff. calculation'!$O$3*N256^'CMOS FOM coeff. calculation'!$M$3))</f>
        <v>22.308923757913345</v>
      </c>
      <c r="Y256" s="68"/>
      <c r="Z256" t="s">
        <v>634</v>
      </c>
      <c r="AA256" s="3" t="s">
        <v>5</v>
      </c>
    </row>
    <row r="257" spans="1:27">
      <c r="A257" t="s">
        <v>1584</v>
      </c>
      <c r="B257" s="8" t="s">
        <v>635</v>
      </c>
      <c r="C257" t="s">
        <v>637</v>
      </c>
      <c r="D257" s="52" t="s">
        <v>636</v>
      </c>
      <c r="E257" s="6">
        <v>6.5000000000000002E-2</v>
      </c>
      <c r="F257" s="1">
        <v>6</v>
      </c>
      <c r="G257" s="1">
        <v>77</v>
      </c>
      <c r="H257" s="1">
        <v>-15</v>
      </c>
      <c r="I257" s="1">
        <v>7.4</v>
      </c>
      <c r="J257" s="1">
        <v>-22</v>
      </c>
      <c r="K257" s="1">
        <v>-12.5</v>
      </c>
      <c r="L257" s="1">
        <v>17.5</v>
      </c>
      <c r="M257" s="1">
        <v>1.2</v>
      </c>
      <c r="N257" s="1">
        <v>30</v>
      </c>
      <c r="Q257" s="118">
        <f t="shared" si="70"/>
        <v>4.5767969768549408</v>
      </c>
      <c r="R257" s="119">
        <f t="shared" si="71"/>
        <v>1327.2711232879328</v>
      </c>
      <c r="S257" s="118">
        <f t="shared" si="72"/>
        <v>0.34850381578877315</v>
      </c>
      <c r="T257" s="118">
        <f t="shared" si="73"/>
        <v>14.780571071577661</v>
      </c>
      <c r="U257" s="118">
        <f t="shared" si="74"/>
        <v>-12.186733570298848</v>
      </c>
      <c r="V257" s="118">
        <f t="shared" si="75"/>
        <v>-23.561630401441388</v>
      </c>
      <c r="W257" s="118">
        <f t="shared" si="76"/>
        <v>-20.967792900162575</v>
      </c>
      <c r="X257" s="118">
        <f>IF(OR(N257="",R257=""),NA(),10*LOG10((G257+'CMOS FOM coeff. calculation'!$Q$3)^'CMOS FOM coeff. calculation'!$P$3*(1000*E257)^'CMOS FOM coeff. calculation'!$N$3*R257^'CMOS FOM coeff. calculation'!$O$3*N257^'CMOS FOM coeff. calculation'!$M$3))</f>
        <v>20.829410941528316</v>
      </c>
      <c r="Y257" s="68"/>
      <c r="Z257" t="s">
        <v>638</v>
      </c>
      <c r="AA257" s="3" t="s">
        <v>5</v>
      </c>
    </row>
    <row r="258" spans="1:27">
      <c r="A258" t="s">
        <v>1835</v>
      </c>
      <c r="B258" s="8" t="s">
        <v>640</v>
      </c>
      <c r="C258" t="s">
        <v>642</v>
      </c>
      <c r="D258" s="7" t="s">
        <v>639</v>
      </c>
      <c r="E258" s="6">
        <v>0.09</v>
      </c>
      <c r="F258" s="1">
        <v>2.298</v>
      </c>
      <c r="G258" s="1">
        <v>1.151</v>
      </c>
      <c r="H258" s="1">
        <v>-10</v>
      </c>
      <c r="I258" s="1">
        <v>1.4</v>
      </c>
      <c r="K258" s="1">
        <v>-1.5</v>
      </c>
      <c r="L258" s="1">
        <v>21</v>
      </c>
      <c r="M258" s="1">
        <v>1.8</v>
      </c>
      <c r="N258" s="1">
        <v>18</v>
      </c>
      <c r="O258" s="1">
        <v>0.06</v>
      </c>
      <c r="Q258" s="118">
        <f t="shared" si="70"/>
        <v>0.38342995701182087</v>
      </c>
      <c r="R258" s="119">
        <f t="shared" si="71"/>
        <v>111.19468753342805</v>
      </c>
      <c r="S258" s="118" t="str">
        <f t="shared" si="72"/>
        <v/>
      </c>
      <c r="T258" s="118">
        <f t="shared" si="73"/>
        <v>13.557366475710577</v>
      </c>
      <c r="U258" s="118">
        <f t="shared" si="74"/>
        <v>-12.352866394536356</v>
      </c>
      <c r="V258" s="118" t="e">
        <f t="shared" si="75"/>
        <v>#N/A</v>
      </c>
      <c r="W258" s="118" t="e">
        <f t="shared" si="76"/>
        <v>#N/A</v>
      </c>
      <c r="X258" s="118">
        <f>IF(OR(N258="",R258=""),NA(),10*LOG10((G258+'CMOS FOM coeff. calculation'!$Q$3)^'CMOS FOM coeff. calculation'!$P$3*(1000*E258)^'CMOS FOM coeff. calculation'!$N$3*R258^'CMOS FOM coeff. calculation'!$O$3*N258^'CMOS FOM coeff. calculation'!$M$3))</f>
        <v>16.477129640733402</v>
      </c>
      <c r="Y258" s="68"/>
      <c r="Z258" t="s">
        <v>641</v>
      </c>
      <c r="AA258" s="3" t="s">
        <v>5</v>
      </c>
    </row>
    <row r="259" spans="1:27">
      <c r="A259" t="s">
        <v>1603</v>
      </c>
      <c r="B259" s="8" t="s">
        <v>648</v>
      </c>
      <c r="C259" t="s">
        <v>650</v>
      </c>
      <c r="D259" s="7" t="s">
        <v>649</v>
      </c>
      <c r="E259" s="1">
        <v>6.5000000000000002E-2</v>
      </c>
      <c r="F259" s="1">
        <v>0.12</v>
      </c>
      <c r="G259" s="1">
        <v>0.91</v>
      </c>
      <c r="I259" s="1">
        <v>3</v>
      </c>
      <c r="K259" s="1">
        <v>-3</v>
      </c>
      <c r="L259" s="1">
        <v>22</v>
      </c>
      <c r="M259" s="1">
        <v>0.55000000000000004</v>
      </c>
      <c r="N259" s="1">
        <v>4.8</v>
      </c>
      <c r="Q259" s="118">
        <f t="shared" si="70"/>
        <v>1.0015818693344274</v>
      </c>
      <c r="R259" s="119">
        <f t="shared" si="71"/>
        <v>290.45874210698395</v>
      </c>
      <c r="S259" s="118" t="str">
        <f t="shared" si="72"/>
        <v/>
      </c>
      <c r="T259" s="118">
        <f t="shared" si="73"/>
        <v>18.378547963795331</v>
      </c>
      <c r="U259" s="118">
        <f t="shared" si="74"/>
        <v>-21.447943810303247</v>
      </c>
      <c r="V259" s="118" t="e">
        <f t="shared" si="75"/>
        <v>#N/A</v>
      </c>
      <c r="W259" s="118" t="e">
        <f t="shared" si="76"/>
        <v>#N/A</v>
      </c>
      <c r="X259" s="118">
        <f>IF(OR(N259="",R259=""),NA(),10*LOG10((G259+'CMOS FOM coeff. calculation'!$Q$3)^'CMOS FOM coeff. calculation'!$P$3*(1000*E259)^'CMOS FOM coeff. calculation'!$N$3*R259^'CMOS FOM coeff. calculation'!$O$3*N259^'CMOS FOM coeff. calculation'!$M$3))</f>
        <v>12.745440238508849</v>
      </c>
      <c r="Y259" s="68"/>
      <c r="Z259" t="s">
        <v>647</v>
      </c>
      <c r="AA259" s="3" t="s">
        <v>5</v>
      </c>
    </row>
    <row r="260" spans="1:27">
      <c r="A260" t="s">
        <v>1614</v>
      </c>
      <c r="B260" s="8" t="s">
        <v>657</v>
      </c>
      <c r="C260" t="s">
        <v>655</v>
      </c>
      <c r="D260" s="7" t="s">
        <v>658</v>
      </c>
      <c r="E260" s="1">
        <v>6.5000000000000002E-2</v>
      </c>
      <c r="F260" s="1">
        <v>10</v>
      </c>
      <c r="G260" s="1">
        <v>81</v>
      </c>
      <c r="H260" s="1">
        <v>-10</v>
      </c>
      <c r="I260" s="1">
        <v>5</v>
      </c>
      <c r="J260" s="1">
        <v>-22</v>
      </c>
      <c r="K260" s="1">
        <v>-12.5</v>
      </c>
      <c r="L260" s="1">
        <v>18.5</v>
      </c>
      <c r="M260" s="1">
        <v>1.2</v>
      </c>
      <c r="Q260" s="118">
        <f t="shared" si="70"/>
        <v>2.1932582564918657</v>
      </c>
      <c r="R260" s="119">
        <f t="shared" si="71"/>
        <v>636.04489438264102</v>
      </c>
      <c r="S260" s="118">
        <f t="shared" si="72"/>
        <v>0.44037401870616111</v>
      </c>
      <c r="T260" s="118" t="e">
        <f t="shared" si="73"/>
        <v>#N/A</v>
      </c>
      <c r="U260" s="118" t="e">
        <f t="shared" si="74"/>
        <v>#N/A</v>
      </c>
      <c r="V260" s="118" t="e">
        <f t="shared" si="75"/>
        <v>#N/A</v>
      </c>
      <c r="W260" s="118" t="e">
        <f t="shared" si="76"/>
        <v>#N/A</v>
      </c>
      <c r="X260" s="118" t="e">
        <f>IF(OR(N260="",R260=""),NA(),10*LOG10((G260+'CMOS FOM coeff. calculation'!$Q$3)^'CMOS FOM coeff. calculation'!$P$3*(1000*E260)^'CMOS FOM coeff. calculation'!$N$3*R260^'CMOS FOM coeff. calculation'!$O$3*N260^'CMOS FOM coeff. calculation'!$M$3))</f>
        <v>#N/A</v>
      </c>
      <c r="Y260" s="68"/>
      <c r="Z260" t="s">
        <v>656</v>
      </c>
      <c r="AA260" s="3" t="s">
        <v>5</v>
      </c>
    </row>
    <row r="261" spans="1:27">
      <c r="A261" t="s">
        <v>1614</v>
      </c>
      <c r="B261" s="8" t="s">
        <v>661</v>
      </c>
      <c r="C261" t="s">
        <v>659</v>
      </c>
      <c r="D261" s="7" t="s">
        <v>662</v>
      </c>
      <c r="E261" s="1">
        <v>6.5000000000000002E-2</v>
      </c>
      <c r="F261" s="1">
        <v>9</v>
      </c>
      <c r="G261" s="1">
        <v>62</v>
      </c>
      <c r="I261" s="1">
        <v>4.5</v>
      </c>
      <c r="J261" s="1">
        <v>-24</v>
      </c>
      <c r="L261" s="1">
        <v>19</v>
      </c>
      <c r="M261" s="1">
        <v>1.2</v>
      </c>
      <c r="N261" s="1">
        <v>30</v>
      </c>
      <c r="Q261" s="118">
        <f t="shared" si="70"/>
        <v>1.8415668847517805</v>
      </c>
      <c r="R261" s="119">
        <f t="shared" si="71"/>
        <v>534.05439657801639</v>
      </c>
      <c r="S261" s="118">
        <f t="shared" si="72"/>
        <v>0.31224669431130309</v>
      </c>
      <c r="T261" s="118">
        <f t="shared" si="73"/>
        <v>11.454156465444054</v>
      </c>
      <c r="U261" s="118">
        <f t="shared" si="74"/>
        <v>-8.2733481006463041</v>
      </c>
      <c r="V261" s="118">
        <f t="shared" si="75"/>
        <v>-20.080584637352974</v>
      </c>
      <c r="W261" s="118">
        <f t="shared" si="76"/>
        <v>-16.899776272555226</v>
      </c>
      <c r="X261" s="118">
        <f>IF(OR(N261="",R261=""),NA(),10*LOG10((G261+'CMOS FOM coeff. calculation'!$Q$3)^'CMOS FOM coeff. calculation'!$P$3*(1000*E261)^'CMOS FOM coeff. calculation'!$N$3*R261^'CMOS FOM coeff. calculation'!$O$3*N261^'CMOS FOM coeff. calculation'!$M$3))</f>
        <v>22.826980961317616</v>
      </c>
      <c r="Y261" s="68"/>
      <c r="Z261" t="s">
        <v>660</v>
      </c>
      <c r="AA261" s="3" t="s">
        <v>5</v>
      </c>
    </row>
    <row r="262" spans="1:27">
      <c r="A262" t="s">
        <v>1614</v>
      </c>
      <c r="B262" s="8" t="s">
        <v>665</v>
      </c>
      <c r="C262" t="s">
        <v>663</v>
      </c>
      <c r="D262" s="7" t="s">
        <v>666</v>
      </c>
      <c r="E262" s="1">
        <v>6.5000000000000002E-2</v>
      </c>
      <c r="F262" s="1">
        <v>1.8</v>
      </c>
      <c r="G262" s="1">
        <v>60</v>
      </c>
      <c r="I262" s="1">
        <v>6</v>
      </c>
      <c r="J262" s="1">
        <v>-23</v>
      </c>
      <c r="L262" s="1">
        <v>15</v>
      </c>
      <c r="M262" s="1">
        <v>1.2</v>
      </c>
      <c r="N262" s="1">
        <v>10</v>
      </c>
      <c r="Q262" s="118">
        <f t="shared" si="70"/>
        <v>3.0784198900027082</v>
      </c>
      <c r="R262" s="119">
        <f t="shared" si="71"/>
        <v>892.74176810078541</v>
      </c>
      <c r="S262" s="118">
        <f t="shared" si="72"/>
        <v>0.15347744690983861</v>
      </c>
      <c r="T262" s="118">
        <f t="shared" si="73"/>
        <v>12.190092139440043</v>
      </c>
      <c r="U262" s="118">
        <f t="shared" si="74"/>
        <v>-11.33918378909569</v>
      </c>
      <c r="V262" s="118">
        <f t="shared" si="75"/>
        <v>-20.206825609135226</v>
      </c>
      <c r="W262" s="118">
        <f t="shared" si="76"/>
        <v>-19.355917258790871</v>
      </c>
      <c r="X262" s="118">
        <f>IF(OR(N262="",R262=""),NA(),10*LOG10((G262+'CMOS FOM coeff. calculation'!$Q$3)^'CMOS FOM coeff. calculation'!$P$3*(1000*E262)^'CMOS FOM coeff. calculation'!$N$3*R262^'CMOS FOM coeff. calculation'!$O$3*N262^'CMOS FOM coeff. calculation'!$M$3))</f>
        <v>21.541938913477754</v>
      </c>
      <c r="Y262" s="68"/>
      <c r="Z262" t="s">
        <v>664</v>
      </c>
      <c r="AA262" s="3" t="s">
        <v>5</v>
      </c>
    </row>
    <row r="263" spans="1:27">
      <c r="A263" t="s">
        <v>1836</v>
      </c>
      <c r="B263" s="8" t="s">
        <v>669</v>
      </c>
      <c r="C263" t="s">
        <v>667</v>
      </c>
      <c r="D263" s="7" t="s">
        <v>668</v>
      </c>
      <c r="E263" s="1">
        <v>0.18</v>
      </c>
      <c r="F263" s="1">
        <v>0.19</v>
      </c>
      <c r="G263" s="1">
        <v>0.105</v>
      </c>
      <c r="I263" s="1">
        <v>3</v>
      </c>
      <c r="J263" s="1">
        <v>-18</v>
      </c>
      <c r="L263" s="1">
        <v>13</v>
      </c>
      <c r="N263" s="1">
        <v>2</v>
      </c>
      <c r="Q263" s="118">
        <f t="shared" si="70"/>
        <v>1.0477754846292611</v>
      </c>
      <c r="R263" s="119">
        <f t="shared" si="71"/>
        <v>303.85489054248569</v>
      </c>
      <c r="S263" s="118">
        <f t="shared" si="72"/>
        <v>0.30037883409222671</v>
      </c>
      <c r="T263" s="118">
        <f t="shared" si="73"/>
        <v>17.661220251777848</v>
      </c>
      <c r="U263" s="118">
        <f t="shared" si="74"/>
        <v>-20.065374915268418</v>
      </c>
      <c r="V263" s="118">
        <f t="shared" si="75"/>
        <v>-14.660628493687904</v>
      </c>
      <c r="W263" s="118">
        <f t="shared" si="76"/>
        <v>-17.064783157178475</v>
      </c>
      <c r="X263" s="118">
        <f>IF(OR(N263="",R263=""),NA(),10*LOG10((G263+'CMOS FOM coeff. calculation'!$Q$3)^'CMOS FOM coeff. calculation'!$P$3*(1000*E263)^'CMOS FOM coeff. calculation'!$N$3*R263^'CMOS FOM coeff. calculation'!$O$3*N263^'CMOS FOM coeff. calculation'!$M$3))</f>
        <v>15.950608710862785</v>
      </c>
      <c r="Y263" s="68"/>
      <c r="Z263" t="s">
        <v>670</v>
      </c>
      <c r="AA263" s="3" t="s">
        <v>5</v>
      </c>
    </row>
    <row r="264" spans="1:27">
      <c r="A264" t="s">
        <v>1627</v>
      </c>
      <c r="B264" s="8" t="s">
        <v>673</v>
      </c>
      <c r="C264" t="s">
        <v>671</v>
      </c>
      <c r="D264" s="7" t="s">
        <v>674</v>
      </c>
      <c r="E264" s="1">
        <v>0.13</v>
      </c>
      <c r="F264" s="1">
        <v>2.6</v>
      </c>
      <c r="G264" s="1">
        <v>1.4</v>
      </c>
      <c r="H264" s="1">
        <v>-19</v>
      </c>
      <c r="I264" s="1">
        <v>4</v>
      </c>
      <c r="K264" s="1">
        <v>-12</v>
      </c>
      <c r="L264" s="1">
        <v>20</v>
      </c>
      <c r="M264" s="1">
        <v>1.2</v>
      </c>
      <c r="N264" s="1">
        <v>1.32</v>
      </c>
      <c r="O264" s="1">
        <v>7.0000000000000001E-3</v>
      </c>
      <c r="P264" s="1">
        <v>1.4</v>
      </c>
      <c r="Q264" s="118">
        <f t="shared" si="70"/>
        <v>1.527158011625839</v>
      </c>
      <c r="R264" s="119">
        <f t="shared" si="71"/>
        <v>442.87582337149331</v>
      </c>
      <c r="S264" s="118" t="str">
        <f t="shared" si="72"/>
        <v/>
      </c>
      <c r="T264" s="118">
        <f t="shared" si="73"/>
        <v>13.080654584012173</v>
      </c>
      <c r="U264" s="118">
        <f t="shared" si="74"/>
        <v>-11.697410090776113</v>
      </c>
      <c r="V264" s="118" t="e">
        <f t="shared" si="75"/>
        <v>#N/A</v>
      </c>
      <c r="W264" s="118" t="e">
        <f t="shared" si="76"/>
        <v>#N/A</v>
      </c>
      <c r="X264" s="118">
        <f>IF(OR(N264="",R264=""),NA(),10*LOG10((G264+'CMOS FOM coeff. calculation'!$Q$3)^'CMOS FOM coeff. calculation'!$P$3*(1000*E264)^'CMOS FOM coeff. calculation'!$N$3*R264^'CMOS FOM coeff. calculation'!$O$3*N264^'CMOS FOM coeff. calculation'!$M$3))</f>
        <v>14.602409815989908</v>
      </c>
      <c r="Y264" s="68"/>
      <c r="Z264" t="s">
        <v>672</v>
      </c>
      <c r="AA264" s="3" t="s">
        <v>5</v>
      </c>
    </row>
    <row r="265" spans="1:27">
      <c r="A265" t="s">
        <v>1817</v>
      </c>
      <c r="B265" s="8" t="s">
        <v>684</v>
      </c>
      <c r="C265" t="s">
        <v>685</v>
      </c>
      <c r="D265" s="7" t="s">
        <v>683</v>
      </c>
      <c r="E265" s="1">
        <v>6.5000000000000002E-2</v>
      </c>
      <c r="F265" s="1">
        <v>9.9</v>
      </c>
      <c r="G265" s="1">
        <v>5.05</v>
      </c>
      <c r="H265" s="1">
        <v>-11.7</v>
      </c>
      <c r="I265" s="1">
        <v>2.59</v>
      </c>
      <c r="K265" s="1">
        <v>-15</v>
      </c>
      <c r="L265" s="1">
        <v>24</v>
      </c>
      <c r="M265" s="1">
        <v>1.2</v>
      </c>
      <c r="N265" s="1">
        <v>8.64</v>
      </c>
      <c r="O265" s="1">
        <v>1.2E-2</v>
      </c>
      <c r="Q265" s="118">
        <f t="shared" si="70"/>
        <v>0.81877526581707194</v>
      </c>
      <c r="R265" s="119">
        <f t="shared" si="71"/>
        <v>237.44482708695085</v>
      </c>
      <c r="S265" s="118" t="str">
        <f t="shared" si="72"/>
        <v/>
      </c>
      <c r="T265" s="118">
        <f t="shared" si="73"/>
        <v>13.392572345822657</v>
      </c>
      <c r="U265" s="118">
        <f t="shared" si="74"/>
        <v>-10.073788363830824</v>
      </c>
      <c r="V265" s="118" t="e">
        <f t="shared" si="75"/>
        <v>#N/A</v>
      </c>
      <c r="W265" s="118" t="e">
        <f t="shared" si="76"/>
        <v>#N/A</v>
      </c>
      <c r="X265" s="118">
        <f>IF(OR(N265="",R265=""),NA(),10*LOG10((G265+'CMOS FOM coeff. calculation'!$Q$3)^'CMOS FOM coeff. calculation'!$P$3*(1000*E265)^'CMOS FOM coeff. calculation'!$N$3*R265^'CMOS FOM coeff. calculation'!$O$3*N265^'CMOS FOM coeff. calculation'!$M$3))</f>
        <v>15.12591627511204</v>
      </c>
      <c r="Y265" s="68"/>
      <c r="Z265" t="s">
        <v>686</v>
      </c>
      <c r="AA265" s="3" t="s">
        <v>5</v>
      </c>
    </row>
    <row r="266" spans="1:27">
      <c r="A266" t="s">
        <v>1659</v>
      </c>
      <c r="B266" s="8" t="s">
        <v>692</v>
      </c>
      <c r="C266" t="s">
        <v>693</v>
      </c>
      <c r="D266" s="7" t="s">
        <v>691</v>
      </c>
      <c r="E266" s="1">
        <v>6.5000000000000002E-2</v>
      </c>
      <c r="F266" s="1">
        <v>0.25</v>
      </c>
      <c r="G266" s="1">
        <v>2.625</v>
      </c>
      <c r="H266" s="1">
        <v>-5</v>
      </c>
      <c r="I266" s="1">
        <v>4.7</v>
      </c>
      <c r="L266" s="1">
        <v>26</v>
      </c>
      <c r="Q266" s="118">
        <f t="shared" si="70"/>
        <v>1.9561227849482643</v>
      </c>
      <c r="R266" s="119">
        <f t="shared" si="71"/>
        <v>567.27560763499662</v>
      </c>
      <c r="S266" s="118" t="str">
        <f t="shared" si="72"/>
        <v/>
      </c>
      <c r="T266" s="118" t="e">
        <f t="shared" si="73"/>
        <v>#N/A</v>
      </c>
      <c r="U266" s="118" t="e">
        <f t="shared" si="74"/>
        <v>#N/A</v>
      </c>
      <c r="V266" s="118" t="e">
        <f t="shared" si="75"/>
        <v>#N/A</v>
      </c>
      <c r="W266" s="118" t="e">
        <f t="shared" si="76"/>
        <v>#N/A</v>
      </c>
      <c r="X266" s="118" t="e">
        <f>IF(OR(N266="",R266=""),NA(),10*LOG10((G266+'CMOS FOM coeff. calculation'!$Q$3)^'CMOS FOM coeff. calculation'!$P$3*(1000*E266)^'CMOS FOM coeff. calculation'!$N$3*R266^'CMOS FOM coeff. calculation'!$O$3*N266^'CMOS FOM coeff. calculation'!$M$3))</f>
        <v>#N/A</v>
      </c>
      <c r="Y266" s="68"/>
      <c r="Z266" t="s">
        <v>694</v>
      </c>
      <c r="AA266" s="3" t="s">
        <v>5</v>
      </c>
    </row>
    <row r="267" spans="1:27">
      <c r="A267" t="s">
        <v>1837</v>
      </c>
      <c r="B267" s="8" t="s">
        <v>696</v>
      </c>
      <c r="C267" t="s">
        <v>697</v>
      </c>
      <c r="D267" s="7" t="s">
        <v>695</v>
      </c>
      <c r="E267" s="1">
        <v>0.13</v>
      </c>
      <c r="F267" s="1">
        <v>0.3</v>
      </c>
      <c r="G267" s="1">
        <v>2.65</v>
      </c>
      <c r="H267" s="1">
        <v>-10</v>
      </c>
      <c r="I267" s="1">
        <v>4.7</v>
      </c>
      <c r="L267" s="1">
        <v>6.1</v>
      </c>
      <c r="M267" s="1">
        <v>1</v>
      </c>
      <c r="N267" s="1">
        <v>3</v>
      </c>
      <c r="Q267" s="118">
        <f t="shared" si="70"/>
        <v>2.5859959607423608</v>
      </c>
      <c r="R267" s="119">
        <f t="shared" si="71"/>
        <v>749.93882861528459</v>
      </c>
      <c r="S267" s="118" t="str">
        <f t="shared" si="72"/>
        <v/>
      </c>
      <c r="T267" s="118">
        <f t="shared" si="73"/>
        <v>14.709132080612529</v>
      </c>
      <c r="U267" s="118">
        <f t="shared" si="74"/>
        <v>-16.452061231546988</v>
      </c>
      <c r="V267" s="118" t="e">
        <f t="shared" si="75"/>
        <v>#N/A</v>
      </c>
      <c r="W267" s="118" t="e">
        <f t="shared" si="76"/>
        <v>#N/A</v>
      </c>
      <c r="X267" s="118">
        <f>IF(OR(N267="",R267=""),NA(),10*LOG10((G267+'CMOS FOM coeff. calculation'!$Q$3)^'CMOS FOM coeff. calculation'!$P$3*(1000*E267)^'CMOS FOM coeff. calculation'!$N$3*R267^'CMOS FOM coeff. calculation'!$O$3*N267^'CMOS FOM coeff. calculation'!$M$3))</f>
        <v>12.5001265000699</v>
      </c>
      <c r="Y267" s="68"/>
      <c r="Z267" t="s">
        <v>698</v>
      </c>
      <c r="AA267" s="3" t="s">
        <v>5</v>
      </c>
    </row>
    <row r="268" spans="1:27">
      <c r="A268" t="s">
        <v>1663</v>
      </c>
      <c r="B268" s="8" t="s">
        <v>1978</v>
      </c>
      <c r="C268" t="s">
        <v>839</v>
      </c>
      <c r="D268" s="7" t="s">
        <v>1979</v>
      </c>
      <c r="E268" s="1">
        <v>3.2000000000000001E-2</v>
      </c>
      <c r="F268" s="1">
        <v>12</v>
      </c>
      <c r="G268" s="1">
        <v>211</v>
      </c>
      <c r="H268" s="1">
        <v>-6</v>
      </c>
      <c r="I268" s="1">
        <v>11</v>
      </c>
      <c r="L268" s="1">
        <v>18</v>
      </c>
      <c r="M268" s="1">
        <v>1</v>
      </c>
      <c r="N268" s="1">
        <v>44.5</v>
      </c>
      <c r="O268" s="1">
        <v>0.26</v>
      </c>
      <c r="Q268" s="118">
        <f t="shared" si="70"/>
        <v>11.77588938719102</v>
      </c>
      <c r="R268" s="119">
        <f t="shared" si="71"/>
        <v>3415.0079222853956</v>
      </c>
      <c r="S268" s="118" t="str">
        <f t="shared" si="72"/>
        <v/>
      </c>
      <c r="T268" s="118">
        <f t="shared" si="73"/>
        <v>20.640587799838215</v>
      </c>
      <c r="U268" s="118">
        <f t="shared" si="74"/>
        <v>-17.043316979679467</v>
      </c>
      <c r="V268" s="118" t="e">
        <f t="shared" si="75"/>
        <v>#N/A</v>
      </c>
      <c r="W268" s="118" t="e">
        <f t="shared" si="76"/>
        <v>#N/A</v>
      </c>
      <c r="X268" s="118">
        <f>IF(OR(N268="",R268=""),NA(),10*LOG10((G268+'CMOS FOM coeff. calculation'!$Q$3)^'CMOS FOM coeff. calculation'!$P$3*(1000*E268)^'CMOS FOM coeff. calculation'!$N$3*R268^'CMOS FOM coeff. calculation'!$O$3*N268^'CMOS FOM coeff. calculation'!$M$3))</f>
        <v>22.490172110236418</v>
      </c>
      <c r="Y268" s="68"/>
      <c r="Z268" t="s">
        <v>1980</v>
      </c>
      <c r="AA268" s="3" t="s">
        <v>5</v>
      </c>
    </row>
    <row r="269" spans="1:27">
      <c r="A269" t="s">
        <v>1671</v>
      </c>
      <c r="B269" s="8" t="s">
        <v>700</v>
      </c>
      <c r="C269" t="s">
        <v>701</v>
      </c>
      <c r="D269" s="7" t="s">
        <v>699</v>
      </c>
      <c r="E269" s="1">
        <v>0.18</v>
      </c>
      <c r="F269" s="1">
        <v>0.2</v>
      </c>
      <c r="G269" s="1">
        <v>1</v>
      </c>
      <c r="H269" s="1">
        <v>-10</v>
      </c>
      <c r="I269" s="1">
        <v>1.3</v>
      </c>
      <c r="J269" s="1">
        <v>3</v>
      </c>
      <c r="K269" s="1">
        <v>22</v>
      </c>
      <c r="L269" s="1">
        <v>10.7</v>
      </c>
      <c r="M269" s="1">
        <v>2.5</v>
      </c>
      <c r="N269" s="1">
        <v>50</v>
      </c>
      <c r="O269" s="1">
        <v>0.67679999999999996</v>
      </c>
      <c r="Q269" s="118">
        <f t="shared" si="70"/>
        <v>0.38142763990625062</v>
      </c>
      <c r="R269" s="119">
        <f t="shared" si="71"/>
        <v>110.61401557281268</v>
      </c>
      <c r="S269" s="118">
        <f t="shared" si="72"/>
        <v>21.447025838230342</v>
      </c>
      <c r="T269" s="118">
        <f t="shared" si="73"/>
        <v>11.407054886921921</v>
      </c>
      <c r="U269" s="118">
        <f t="shared" si="74"/>
        <v>-13.736954901375316</v>
      </c>
      <c r="V269" s="118">
        <f t="shared" si="75"/>
        <v>-10.149973001716759</v>
      </c>
      <c r="W269" s="118">
        <f t="shared" si="76"/>
        <v>-12.479873016170155</v>
      </c>
      <c r="X269" s="118">
        <f>IF(OR(N269="",R269=""),NA(),10*LOG10((G269+'CMOS FOM coeff. calculation'!$Q$3)^'CMOS FOM coeff. calculation'!$P$3*(1000*E269)^'CMOS FOM coeff. calculation'!$N$3*R269^'CMOS FOM coeff. calculation'!$O$3*N269^'CMOS FOM coeff. calculation'!$M$3))</f>
        <v>17.631547858394605</v>
      </c>
      <c r="Y269" s="68"/>
      <c r="Z269" t="s">
        <v>702</v>
      </c>
      <c r="AA269" s="3" t="s">
        <v>445</v>
      </c>
    </row>
    <row r="270" spans="1:27">
      <c r="A270" t="s">
        <v>1838</v>
      </c>
      <c r="B270" s="8" t="s">
        <v>1981</v>
      </c>
      <c r="C270" t="s">
        <v>1982</v>
      </c>
      <c r="D270" s="7" t="s">
        <v>1983</v>
      </c>
      <c r="E270" s="1">
        <v>4.4999999999999998E-2</v>
      </c>
      <c r="F270" s="1">
        <v>2</v>
      </c>
      <c r="G270" s="1">
        <v>2.2999999999999998</v>
      </c>
      <c r="I270" s="1">
        <v>2.8</v>
      </c>
      <c r="K270" s="1">
        <v>-7</v>
      </c>
      <c r="L270" s="1">
        <v>16</v>
      </c>
      <c r="M270" s="1">
        <v>1</v>
      </c>
      <c r="N270" s="1">
        <v>6</v>
      </c>
      <c r="Q270" s="118">
        <f t="shared" si="70"/>
        <v>0.9287908903141453</v>
      </c>
      <c r="R270" s="119">
        <f t="shared" si="71"/>
        <v>269.34935819110211</v>
      </c>
      <c r="S270" s="118" t="str">
        <f t="shared" si="72"/>
        <v/>
      </c>
      <c r="T270" s="118">
        <f t="shared" si="73"/>
        <v>17.81866454891151</v>
      </c>
      <c r="U270" s="118">
        <f t="shared" si="74"/>
        <v>-16.815231230031571</v>
      </c>
      <c r="V270" s="118" t="e">
        <f t="shared" si="75"/>
        <v>#N/A</v>
      </c>
      <c r="W270" s="118" t="e">
        <f t="shared" si="76"/>
        <v>#N/A</v>
      </c>
      <c r="X270" s="118">
        <f>IF(OR(N270="",R270=""),NA(),10*LOG10((G270+'CMOS FOM coeff. calculation'!$Q$3)^'CMOS FOM coeff. calculation'!$P$3*(1000*E270)^'CMOS FOM coeff. calculation'!$N$3*R270^'CMOS FOM coeff. calculation'!$O$3*N270^'CMOS FOM coeff. calculation'!$M$3))</f>
        <v>12.493020474568528</v>
      </c>
      <c r="Y270" s="68"/>
      <c r="Z270" t="s">
        <v>1984</v>
      </c>
    </row>
    <row r="271" spans="1:27">
      <c r="A271" t="s">
        <v>1839</v>
      </c>
      <c r="B271" s="8" t="s">
        <v>704</v>
      </c>
      <c r="C271" t="s">
        <v>705</v>
      </c>
      <c r="D271" s="7" t="s">
        <v>703</v>
      </c>
      <c r="E271" s="1">
        <v>6.5000000000000002E-2</v>
      </c>
      <c r="F271" s="1">
        <v>2</v>
      </c>
      <c r="G271" s="1">
        <v>1.1000000000000001</v>
      </c>
      <c r="I271" s="1">
        <v>2.4</v>
      </c>
      <c r="K271" s="1">
        <v>2.5</v>
      </c>
      <c r="L271" s="1">
        <v>22</v>
      </c>
      <c r="M271" s="1">
        <v>1.6</v>
      </c>
      <c r="N271" s="1">
        <v>13</v>
      </c>
      <c r="Q271" s="118">
        <f t="shared" si="70"/>
        <v>0.74248559614999154</v>
      </c>
      <c r="R271" s="119">
        <f t="shared" si="71"/>
        <v>215.32082288349756</v>
      </c>
      <c r="S271" s="118" t="str">
        <f t="shared" si="72"/>
        <v/>
      </c>
      <c r="T271" s="118">
        <f t="shared" si="73"/>
        <v>17.971895514477552</v>
      </c>
      <c r="U271" s="118">
        <f t="shared" si="74"/>
        <v>-16.968462195597613</v>
      </c>
      <c r="V271" s="118" t="e">
        <f t="shared" si="75"/>
        <v>#N/A</v>
      </c>
      <c r="W271" s="118" t="e">
        <f t="shared" si="76"/>
        <v>#N/A</v>
      </c>
      <c r="X271" s="118">
        <f>IF(OR(N271="",R271=""),NA(),10*LOG10((G271+'CMOS FOM coeff. calculation'!$Q$3)^'CMOS FOM coeff. calculation'!$P$3*(1000*E271)^'CMOS FOM coeff. calculation'!$N$3*R271^'CMOS FOM coeff. calculation'!$O$3*N271^'CMOS FOM coeff. calculation'!$M$3))</f>
        <v>13.158561130374775</v>
      </c>
      <c r="Y271" s="68"/>
      <c r="Z271" t="s">
        <v>706</v>
      </c>
      <c r="AA271" s="3" t="s">
        <v>5</v>
      </c>
    </row>
    <row r="272" spans="1:27">
      <c r="E272" s="1">
        <v>6.5000000000000002E-2</v>
      </c>
      <c r="F272" s="1">
        <v>1.4</v>
      </c>
      <c r="G272" s="1">
        <v>0.9</v>
      </c>
      <c r="I272" s="1">
        <v>3.6</v>
      </c>
      <c r="K272" s="1">
        <v>14.5</v>
      </c>
      <c r="L272" s="1">
        <v>24</v>
      </c>
      <c r="M272" s="1">
        <v>1.6</v>
      </c>
      <c r="N272" s="1">
        <v>20.2</v>
      </c>
      <c r="O272" s="1">
        <v>0.2</v>
      </c>
      <c r="P272" s="1">
        <v>0.59289999999999998</v>
      </c>
      <c r="Q272" s="118">
        <f t="shared" si="70"/>
        <v>1.2960272301031397</v>
      </c>
      <c r="R272" s="119">
        <f t="shared" si="71"/>
        <v>375.84789672991053</v>
      </c>
      <c r="S272" s="118" t="str">
        <f t="shared" si="72"/>
        <v/>
      </c>
      <c r="T272" s="118">
        <f t="shared" si="73"/>
        <v>21.610184343477002</v>
      </c>
      <c r="U272" s="118">
        <f t="shared" si="74"/>
        <v>-21.123090891216208</v>
      </c>
      <c r="V272" s="118" t="e">
        <f t="shared" si="75"/>
        <v>#N/A</v>
      </c>
      <c r="W272" s="118" t="e">
        <f t="shared" si="76"/>
        <v>#N/A</v>
      </c>
      <c r="X272" s="118">
        <f>IF(OR(N272="",R272=""),NA(),10*LOG10((G272+'CMOS FOM coeff. calculation'!$Q$3)^'CMOS FOM coeff. calculation'!$P$3*(1000*E272)^'CMOS FOM coeff. calculation'!$N$3*R272^'CMOS FOM coeff. calculation'!$O$3*N272^'CMOS FOM coeff. calculation'!$M$3))</f>
        <v>10.484120585239873</v>
      </c>
      <c r="Y272" s="68"/>
      <c r="AA272" s="3"/>
    </row>
    <row r="273" spans="1:27">
      <c r="A273" t="s">
        <v>1840</v>
      </c>
      <c r="B273" s="8" t="s">
        <v>708</v>
      </c>
      <c r="C273" t="s">
        <v>710</v>
      </c>
      <c r="D273" s="7" t="s">
        <v>707</v>
      </c>
      <c r="E273" s="1">
        <v>0.13</v>
      </c>
      <c r="F273" s="1">
        <v>3.6</v>
      </c>
      <c r="G273" s="1">
        <v>2.4</v>
      </c>
      <c r="H273" s="1">
        <v>-10</v>
      </c>
      <c r="I273" s="1">
        <v>4</v>
      </c>
      <c r="J273" s="1">
        <v>-25</v>
      </c>
      <c r="K273" s="1">
        <v>-10</v>
      </c>
      <c r="L273" s="1">
        <v>14</v>
      </c>
      <c r="M273" s="1">
        <v>0.5</v>
      </c>
      <c r="N273" s="1">
        <v>0.25</v>
      </c>
      <c r="O273" s="1">
        <v>0.39600000000000002</v>
      </c>
      <c r="Q273" s="118">
        <f t="shared" si="70"/>
        <v>1.5745712416962403</v>
      </c>
      <c r="R273" s="119">
        <f t="shared" si="71"/>
        <v>456.62566009190971</v>
      </c>
      <c r="S273" s="118">
        <f t="shared" si="72"/>
        <v>7.6270545812259685E-2</v>
      </c>
      <c r="T273" s="118">
        <f t="shared" si="73"/>
        <v>9.2441035380555601</v>
      </c>
      <c r="U273" s="118">
        <f t="shared" si="74"/>
        <v>-7.3897618688312692</v>
      </c>
      <c r="V273" s="118">
        <f t="shared" si="75"/>
        <v>-9.276562699269288</v>
      </c>
      <c r="W273" s="118">
        <f t="shared" si="76"/>
        <v>-7.4222210300449971</v>
      </c>
      <c r="X273" s="118">
        <f>IF(OR(N273="",R273=""),NA(),10*LOG10((G273+'CMOS FOM coeff. calculation'!$Q$3)^'CMOS FOM coeff. calculation'!$P$3*(1000*E273)^'CMOS FOM coeff. calculation'!$N$3*R273^'CMOS FOM coeff. calculation'!$O$3*N273^'CMOS FOM coeff. calculation'!$M$3))</f>
        <v>16.467842392328713</v>
      </c>
      <c r="Y273" s="68"/>
      <c r="Z273" t="s">
        <v>709</v>
      </c>
      <c r="AA273" s="3" t="s">
        <v>5</v>
      </c>
    </row>
    <row r="274" spans="1:27">
      <c r="B274" s="8"/>
      <c r="D274" s="7"/>
      <c r="E274" s="1">
        <v>0.13</v>
      </c>
      <c r="F274" s="1">
        <v>2.5</v>
      </c>
      <c r="G274" s="1">
        <v>1.85</v>
      </c>
      <c r="H274" s="1">
        <v>-10</v>
      </c>
      <c r="I274" s="1">
        <v>4.5</v>
      </c>
      <c r="J274" s="1">
        <v>-22</v>
      </c>
      <c r="K274" s="1">
        <v>-12</v>
      </c>
      <c r="L274" s="1">
        <v>13</v>
      </c>
      <c r="M274" s="1">
        <v>0.4</v>
      </c>
      <c r="N274" s="1">
        <v>0.16</v>
      </c>
      <c r="O274" s="1">
        <v>0.39</v>
      </c>
      <c r="Q274" s="118">
        <f t="shared" si="70"/>
        <v>1.9143265332082469</v>
      </c>
      <c r="R274" s="119">
        <f t="shared" si="71"/>
        <v>555.15469463039165</v>
      </c>
      <c r="S274" s="118">
        <f t="shared" si="72"/>
        <v>0.1195829677346147</v>
      </c>
      <c r="T274" s="118">
        <f t="shared" si="73"/>
        <v>10.200170577252329</v>
      </c>
      <c r="U274" s="118">
        <f t="shared" si="74"/>
        <v>-8.8737038816788711</v>
      </c>
      <c r="V274" s="118">
        <f t="shared" si="75"/>
        <v>-8.5587230309242184</v>
      </c>
      <c r="W274" s="118">
        <f t="shared" si="76"/>
        <v>-7.2322563353507592</v>
      </c>
      <c r="X274" s="118">
        <f>IF(OR(N274="",R274=""),NA(),10*LOG10((G274+'CMOS FOM coeff. calculation'!$Q$3)^'CMOS FOM coeff. calculation'!$P$3*(1000*E274)^'CMOS FOM coeff. calculation'!$N$3*R274^'CMOS FOM coeff. calculation'!$O$3*N274^'CMOS FOM coeff. calculation'!$M$3))</f>
        <v>15.799138084903777</v>
      </c>
      <c r="Y274" s="68"/>
      <c r="Z274" s="4"/>
      <c r="AA274" s="3"/>
    </row>
    <row r="275" spans="1:27">
      <c r="A275" t="s">
        <v>1822</v>
      </c>
      <c r="B275" s="8" t="s">
        <v>1985</v>
      </c>
      <c r="C275" t="s">
        <v>1986</v>
      </c>
      <c r="D275" s="7" t="s">
        <v>1987</v>
      </c>
      <c r="E275" s="1">
        <v>2.8000000000000001E-2</v>
      </c>
      <c r="F275" s="1">
        <v>11.7</v>
      </c>
      <c r="G275" s="1">
        <v>80.849999999999994</v>
      </c>
      <c r="I275" s="1">
        <v>5.2</v>
      </c>
      <c r="J275" s="1">
        <v>-15.5</v>
      </c>
      <c r="L275" s="1">
        <v>16.5</v>
      </c>
      <c r="M275" s="1">
        <v>0.9</v>
      </c>
      <c r="N275" s="1">
        <v>26</v>
      </c>
      <c r="P275" s="1">
        <v>0.13650000000000001</v>
      </c>
      <c r="Q275" s="118">
        <f t="shared" si="70"/>
        <v>2.3642399544527231</v>
      </c>
      <c r="R275" s="119">
        <f t="shared" si="71"/>
        <v>685.62958679128974</v>
      </c>
      <c r="S275" s="118">
        <f t="shared" si="72"/>
        <v>1.2307415824815227</v>
      </c>
      <c r="T275" s="118">
        <f t="shared" si="73"/>
        <v>16.440186104539176</v>
      </c>
      <c r="U275" s="118">
        <f t="shared" si="74"/>
        <v>-12.879566565385305</v>
      </c>
      <c r="V275" s="118">
        <f t="shared" si="75"/>
        <v>-22.039001202568226</v>
      </c>
      <c r="W275" s="118">
        <f t="shared" si="76"/>
        <v>-18.478381663414353</v>
      </c>
      <c r="X275" s="118">
        <f>IF(OR(N275="",R275=""),NA(),10*LOG10((G275+'CMOS FOM coeff. calculation'!$Q$3)^'CMOS FOM coeff. calculation'!$P$3*(1000*E275)^'CMOS FOM coeff. calculation'!$N$3*R275^'CMOS FOM coeff. calculation'!$O$3*N275^'CMOS FOM coeff. calculation'!$M$3))</f>
        <v>21.334395994658575</v>
      </c>
      <c r="Y275" s="68"/>
      <c r="Z275" t="s">
        <v>1988</v>
      </c>
      <c r="AA275" s="3" t="s">
        <v>5</v>
      </c>
    </row>
    <row r="276" spans="1:27">
      <c r="B276" s="8"/>
      <c r="D276" s="7"/>
      <c r="E276" s="1">
        <v>2.8000000000000001E-2</v>
      </c>
      <c r="F276" s="1">
        <v>10</v>
      </c>
      <c r="G276" s="1">
        <v>80</v>
      </c>
      <c r="I276" s="1">
        <v>5.5</v>
      </c>
      <c r="J276" s="1">
        <v>-15.5</v>
      </c>
      <c r="L276" s="1">
        <v>15.2</v>
      </c>
      <c r="M276" s="1">
        <v>0.9</v>
      </c>
      <c r="N276" s="1">
        <v>47</v>
      </c>
      <c r="Q276" s="118">
        <f t="shared" si="70"/>
        <v>2.6274825982653329</v>
      </c>
      <c r="R276" s="119">
        <f t="shared" si="71"/>
        <v>761.96995349694657</v>
      </c>
      <c r="S276" s="118">
        <f t="shared" si="72"/>
        <v>0.90507047148434683</v>
      </c>
      <c r="T276" s="118">
        <f t="shared" si="73"/>
        <v>17.786351012520853</v>
      </c>
      <c r="U276" s="118">
        <f t="shared" si="74"/>
        <v>-14.45301767918752</v>
      </c>
      <c r="V276" s="118">
        <f t="shared" si="75"/>
        <v>-24.671895946805545</v>
      </c>
      <c r="W276" s="118">
        <f t="shared" si="76"/>
        <v>-21.338562613472213</v>
      </c>
      <c r="X276" s="118">
        <f>IF(OR(N276="",R276=""),NA(),10*LOG10((G276+'CMOS FOM coeff. calculation'!$Q$3)^'CMOS FOM coeff. calculation'!$P$3*(1000*E276)^'CMOS FOM coeff. calculation'!$N$3*R276^'CMOS FOM coeff. calculation'!$O$3*N276^'CMOS FOM coeff. calculation'!$M$3))</f>
        <v>20.329487942771138</v>
      </c>
      <c r="Y276" s="68"/>
      <c r="Z276" s="4"/>
      <c r="AA276" s="3"/>
    </row>
    <row r="277" spans="1:27">
      <c r="A277" t="s">
        <v>1841</v>
      </c>
      <c r="B277" s="8" t="s">
        <v>712</v>
      </c>
      <c r="C277" t="s">
        <v>714</v>
      </c>
      <c r="D277" s="7" t="s">
        <v>711</v>
      </c>
      <c r="E277" s="1">
        <v>6.5000000000000002E-2</v>
      </c>
      <c r="F277" s="1">
        <v>30</v>
      </c>
      <c r="G277" s="1">
        <v>77.5</v>
      </c>
      <c r="H277" s="1">
        <v>-10</v>
      </c>
      <c r="I277" s="1">
        <v>5.5</v>
      </c>
      <c r="J277" s="1">
        <v>-15</v>
      </c>
      <c r="L277" s="1">
        <v>18.5</v>
      </c>
      <c r="M277" s="1">
        <v>1.8</v>
      </c>
      <c r="N277" s="1">
        <v>27</v>
      </c>
      <c r="O277" s="1">
        <v>0.06</v>
      </c>
      <c r="P277" s="1">
        <v>0.24</v>
      </c>
      <c r="Q277" s="118">
        <f t="shared" si="70"/>
        <v>2.5846429443186998</v>
      </c>
      <c r="R277" s="119">
        <f t="shared" si="71"/>
        <v>749.54645385242293</v>
      </c>
      <c r="S277" s="118">
        <f t="shared" si="72"/>
        <v>2.2070983619666573</v>
      </c>
      <c r="T277" s="118">
        <f t="shared" si="73"/>
        <v>12.127695334568692</v>
      </c>
      <c r="U277" s="118">
        <f t="shared" si="74"/>
        <v>-7.2039578188364839</v>
      </c>
      <c r="V277" s="118">
        <f t="shared" si="75"/>
        <v>-18.09355245078358</v>
      </c>
      <c r="W277" s="118">
        <f t="shared" si="76"/>
        <v>-13.169814935051372</v>
      </c>
      <c r="X277" s="118">
        <f>IF(OR(N277="",R277=""),NA(),10*LOG10((G277+'CMOS FOM coeff. calculation'!$Q$3)^'CMOS FOM coeff. calculation'!$P$3*(1000*E277)^'CMOS FOM coeff. calculation'!$N$3*R277^'CMOS FOM coeff. calculation'!$O$3*N277^'CMOS FOM coeff. calculation'!$M$3))</f>
        <v>23.201865697104843</v>
      </c>
      <c r="Y277" s="68"/>
      <c r="Z277" t="s">
        <v>713</v>
      </c>
      <c r="AA277" s="3" t="s">
        <v>5</v>
      </c>
    </row>
    <row r="278" spans="1:27" ht="13.5" customHeight="1">
      <c r="B278" s="8"/>
      <c r="D278" s="7"/>
      <c r="E278" s="1">
        <v>6.5000000000000002E-2</v>
      </c>
      <c r="F278" s="1">
        <v>27.5</v>
      </c>
      <c r="G278" s="1">
        <v>77.25</v>
      </c>
      <c r="H278" s="1">
        <v>-10</v>
      </c>
      <c r="I278" s="1">
        <v>6.4</v>
      </c>
      <c r="J278" s="1">
        <v>-14.3</v>
      </c>
      <c r="L278" s="1">
        <v>13.3</v>
      </c>
      <c r="M278" s="1">
        <v>1.2</v>
      </c>
      <c r="N278" s="1">
        <v>12</v>
      </c>
      <c r="O278" s="1">
        <v>0.06</v>
      </c>
      <c r="P278" s="1">
        <v>0.24</v>
      </c>
      <c r="Q278" s="118">
        <f t="shared" si="70"/>
        <v>3.5302820182611638</v>
      </c>
      <c r="R278" s="119">
        <f t="shared" si="71"/>
        <v>1023.7817852957376</v>
      </c>
      <c r="S278" s="118">
        <f t="shared" si="72"/>
        <v>0.75717471181456431</v>
      </c>
      <c r="T278" s="118">
        <f t="shared" si="73"/>
        <v>12.317196816894381</v>
      </c>
      <c r="U278" s="118">
        <f t="shared" si="74"/>
        <v>-7.519421170793505</v>
      </c>
      <c r="V278" s="118">
        <f t="shared" si="75"/>
        <v>-18.653186783085836</v>
      </c>
      <c r="W278" s="118">
        <f t="shared" si="76"/>
        <v>-13.85541113698496</v>
      </c>
      <c r="X278" s="118">
        <f>IF(OR(N278="",R278=""),NA(),10*LOG10((G278+'CMOS FOM coeff. calculation'!$Q$3)^'CMOS FOM coeff. calculation'!$P$3*(1000*E278)^'CMOS FOM coeff. calculation'!$N$3*R278^'CMOS FOM coeff. calculation'!$O$3*N278^'CMOS FOM coeff. calculation'!$M$3))</f>
        <v>22.663838614205282</v>
      </c>
      <c r="Y278" s="68"/>
      <c r="Z278" s="4"/>
      <c r="AA278" s="3" t="s">
        <v>5</v>
      </c>
    </row>
    <row r="279" spans="1:27">
      <c r="A279" t="s">
        <v>1842</v>
      </c>
      <c r="B279" s="8" t="s">
        <v>716</v>
      </c>
      <c r="C279" t="s">
        <v>717</v>
      </c>
      <c r="D279" s="7" t="s">
        <v>715</v>
      </c>
      <c r="E279" s="1">
        <v>0.18</v>
      </c>
      <c r="F279" s="1">
        <v>1.9</v>
      </c>
      <c r="G279" s="1">
        <v>1.05</v>
      </c>
      <c r="H279" s="1">
        <v>-10</v>
      </c>
      <c r="I279" s="1">
        <v>2.9</v>
      </c>
      <c r="K279" s="1">
        <v>10.6</v>
      </c>
      <c r="L279" s="1">
        <v>17.5</v>
      </c>
      <c r="M279" s="1">
        <v>2.2000000000000002</v>
      </c>
      <c r="N279" s="1">
        <v>21.3</v>
      </c>
      <c r="P279" s="1">
        <v>0.63</v>
      </c>
      <c r="Q279" s="118">
        <f t="shared" si="70"/>
        <v>0.96704129601159305</v>
      </c>
      <c r="R279" s="119">
        <f t="shared" si="71"/>
        <v>280.441975843362</v>
      </c>
      <c r="S279" s="118" t="str">
        <f t="shared" si="72"/>
        <v/>
      </c>
      <c r="T279" s="118">
        <f t="shared" si="73"/>
        <v>14.070820153189434</v>
      </c>
      <c r="U279" s="118">
        <f t="shared" si="74"/>
        <v>-13.141641483346671</v>
      </c>
      <c r="V279" s="118" t="e">
        <f t="shared" si="75"/>
        <v>#N/A</v>
      </c>
      <c r="W279" s="118" t="e">
        <f t="shared" si="76"/>
        <v>#N/A</v>
      </c>
      <c r="X279" s="118">
        <f>IF(OR(N279="",R279=""),NA(),10*LOG10((G279+'CMOS FOM coeff. calculation'!$Q$3)^'CMOS FOM coeff. calculation'!$P$3*(1000*E279)^'CMOS FOM coeff. calculation'!$N$3*R279^'CMOS FOM coeff. calculation'!$O$3*N279^'CMOS FOM coeff. calculation'!$M$3))</f>
        <v>14.764958038197573</v>
      </c>
      <c r="Y279" s="68"/>
      <c r="Z279" t="s">
        <v>718</v>
      </c>
      <c r="AA279" s="3" t="s">
        <v>5</v>
      </c>
    </row>
    <row r="280" spans="1:27">
      <c r="A280" t="s">
        <v>1758</v>
      </c>
      <c r="B280" s="8" t="s">
        <v>1989</v>
      </c>
      <c r="C280" t="s">
        <v>1990</v>
      </c>
      <c r="D280" s="7" t="s">
        <v>1991</v>
      </c>
      <c r="E280" s="1">
        <v>2.8000000000000001E-2</v>
      </c>
      <c r="F280" s="1">
        <v>28.3</v>
      </c>
      <c r="G280" s="1">
        <v>82.25</v>
      </c>
      <c r="H280" s="1">
        <v>-7.6</v>
      </c>
      <c r="I280" s="1">
        <v>6.4</v>
      </c>
      <c r="J280" s="1">
        <v>-28.1</v>
      </c>
      <c r="L280" s="1">
        <v>29.6</v>
      </c>
      <c r="M280" s="1">
        <v>0.9</v>
      </c>
      <c r="N280" s="1">
        <v>31.3</v>
      </c>
      <c r="O280" s="1">
        <v>0.25</v>
      </c>
      <c r="Q280" s="118">
        <f t="shared" si="70"/>
        <v>3.3688521953799233</v>
      </c>
      <c r="R280" s="119">
        <f t="shared" si="71"/>
        <v>976.96713666017774</v>
      </c>
      <c r="S280" s="118">
        <f t="shared" si="72"/>
        <v>1.4109887280038411</v>
      </c>
      <c r="T280" s="118">
        <f t="shared" si="73"/>
        <v>18.196954235258954</v>
      </c>
      <c r="U280" s="118">
        <f t="shared" si="74"/>
        <v>-13.357666116844653</v>
      </c>
      <c r="V280" s="118">
        <f t="shared" si="75"/>
        <v>-23.891336672592924</v>
      </c>
      <c r="W280" s="118">
        <f t="shared" si="76"/>
        <v>-19.052048554178626</v>
      </c>
      <c r="X280" s="118">
        <f>IF(OR(N280="",R280=""),NA(),10*LOG10((G280+'CMOS FOM coeff. calculation'!$Q$3)^'CMOS FOM coeff. calculation'!$P$3*(1000*E280)^'CMOS FOM coeff. calculation'!$N$3*R280^'CMOS FOM coeff. calculation'!$O$3*N280^'CMOS FOM coeff. calculation'!$M$3))</f>
        <v>19.916142587877683</v>
      </c>
      <c r="Y280" s="68"/>
      <c r="Z280" t="s">
        <v>1992</v>
      </c>
      <c r="AA280" s="3" t="s">
        <v>5</v>
      </c>
    </row>
    <row r="281" spans="1:27">
      <c r="A281" t="s">
        <v>1754</v>
      </c>
      <c r="B281" s="8" t="s">
        <v>720</v>
      </c>
      <c r="C281" t="s">
        <v>722</v>
      </c>
      <c r="D281" s="7" t="s">
        <v>719</v>
      </c>
      <c r="E281" s="1">
        <v>6.5000000000000002E-2</v>
      </c>
      <c r="F281" s="1">
        <v>2</v>
      </c>
      <c r="G281" s="1">
        <v>4.4000000000000004</v>
      </c>
      <c r="H281" s="1">
        <v>-8</v>
      </c>
      <c r="I281" s="1">
        <v>5.0999999999999996</v>
      </c>
      <c r="J281" s="1">
        <v>-6.7</v>
      </c>
      <c r="L281" s="1">
        <v>26.8</v>
      </c>
      <c r="M281" s="1">
        <v>1.5</v>
      </c>
      <c r="N281" s="1">
        <v>13.5</v>
      </c>
      <c r="Q281" s="118">
        <f t="shared" si="70"/>
        <v>2.2406178835711512</v>
      </c>
      <c r="R281" s="119">
        <f t="shared" si="71"/>
        <v>649.7791862356338</v>
      </c>
      <c r="S281" s="118">
        <f t="shared" si="72"/>
        <v>102.11550301912527</v>
      </c>
      <c r="T281" s="118">
        <f t="shared" si="73"/>
        <v>18.80959460970654</v>
      </c>
      <c r="U281" s="118">
        <f t="shared" si="74"/>
        <v>-17.806161290826601</v>
      </c>
      <c r="V281" s="118">
        <f t="shared" si="75"/>
        <v>-14.068288345070437</v>
      </c>
      <c r="W281" s="118">
        <f t="shared" si="76"/>
        <v>-13.0648550261905</v>
      </c>
      <c r="X281" s="118">
        <f>IF(OR(N281="",R281=""),NA(),10*LOG10((G281+'CMOS FOM coeff. calculation'!$Q$3)^'CMOS FOM coeff. calculation'!$P$3*(1000*E281)^'CMOS FOM coeff. calculation'!$N$3*R281^'CMOS FOM coeff. calculation'!$O$3*N281^'CMOS FOM coeff. calculation'!$M$3))</f>
        <v>10.505092680895441</v>
      </c>
      <c r="Y281" s="68"/>
      <c r="Z281" t="s">
        <v>721</v>
      </c>
      <c r="AA281" s="3" t="s">
        <v>5</v>
      </c>
    </row>
    <row r="282" spans="1:27">
      <c r="A282" t="s">
        <v>1825</v>
      </c>
      <c r="B282" s="8" t="s">
        <v>728</v>
      </c>
      <c r="C282" t="s">
        <v>730</v>
      </c>
      <c r="D282" s="7" t="s">
        <v>727</v>
      </c>
      <c r="E282" s="1">
        <v>6.5000000000000002E-2</v>
      </c>
      <c r="F282" s="1">
        <v>17.5</v>
      </c>
      <c r="G282" s="1">
        <v>68.75</v>
      </c>
      <c r="H282" s="1">
        <v>-10</v>
      </c>
      <c r="I282" s="1">
        <v>5.4</v>
      </c>
      <c r="J282" s="1">
        <v>-15.4</v>
      </c>
      <c r="L282" s="1">
        <v>17.7</v>
      </c>
      <c r="M282" s="1">
        <v>1</v>
      </c>
      <c r="N282" s="1">
        <v>19</v>
      </c>
      <c r="P282" s="1">
        <v>0.36899999999999999</v>
      </c>
      <c r="Q282" s="118">
        <f t="shared" si="70"/>
        <v>2.5099943238065112</v>
      </c>
      <c r="R282" s="119">
        <f t="shared" si="71"/>
        <v>727.89835390388828</v>
      </c>
      <c r="S282" s="118">
        <f t="shared" si="72"/>
        <v>1.6694033374304791</v>
      </c>
      <c r="T282" s="118">
        <f t="shared" si="73"/>
        <v>11.838576624782345</v>
      </c>
      <c r="U282" s="118">
        <f t="shared" si="74"/>
        <v>-7.6951164624946964</v>
      </c>
      <c r="V282" s="118">
        <f t="shared" si="75"/>
        <v>-17.526504567118831</v>
      </c>
      <c r="W282" s="118">
        <f t="shared" si="76"/>
        <v>-13.383044404831182</v>
      </c>
      <c r="X282" s="118">
        <f>IF(OR(N282="",R282=""),NA(),10*LOG10((G282+'CMOS FOM coeff. calculation'!$Q$3)^'CMOS FOM coeff. calculation'!$P$3*(1000*E282)^'CMOS FOM coeff. calculation'!$N$3*R282^'CMOS FOM coeff. calculation'!$O$3*N282^'CMOS FOM coeff. calculation'!$M$3))</f>
        <v>22.750577466537621</v>
      </c>
      <c r="Y282" s="68"/>
      <c r="Z282" t="s">
        <v>729</v>
      </c>
      <c r="AA282" s="3"/>
    </row>
    <row r="283" spans="1:27">
      <c r="A283" t="s">
        <v>1843</v>
      </c>
      <c r="B283" s="8" t="s">
        <v>732</v>
      </c>
      <c r="C283" t="s">
        <v>733</v>
      </c>
      <c r="D283" s="7" t="s">
        <v>731</v>
      </c>
      <c r="E283" s="1">
        <v>6.5000000000000002E-2</v>
      </c>
      <c r="F283" s="1">
        <v>0.2</v>
      </c>
      <c r="G283" s="1">
        <v>2.4</v>
      </c>
      <c r="H283" s="1">
        <v>-13.5</v>
      </c>
      <c r="I283" s="1">
        <v>2.8</v>
      </c>
      <c r="K283" s="1">
        <v>-10.7</v>
      </c>
      <c r="L283" s="1">
        <v>17.399999999999999</v>
      </c>
      <c r="M283" s="1">
        <v>0.7</v>
      </c>
      <c r="N283" s="1">
        <v>0.47499999999999998</v>
      </c>
      <c r="O283" s="1">
        <v>0.42</v>
      </c>
      <c r="Q283" s="118">
        <f t="shared" si="70"/>
        <v>0.92224277770766205</v>
      </c>
      <c r="R283" s="119">
        <f t="shared" si="71"/>
        <v>267.45040553522199</v>
      </c>
      <c r="S283" s="118" t="str">
        <f t="shared" si="72"/>
        <v/>
      </c>
      <c r="T283" s="118">
        <f t="shared" si="73"/>
        <v>11.863844960636587</v>
      </c>
      <c r="U283" s="118">
        <f t="shared" si="74"/>
        <v>-14.193744975089983</v>
      </c>
      <c r="V283" s="118" t="e">
        <f t="shared" si="75"/>
        <v>#N/A</v>
      </c>
      <c r="W283" s="118" t="e">
        <f t="shared" si="76"/>
        <v>#N/A</v>
      </c>
      <c r="X283" s="118">
        <f>IF(OR(N283="",R283=""),NA(),10*LOG10((G283+'CMOS FOM coeff. calculation'!$Q$3)^'CMOS FOM coeff. calculation'!$P$3*(1000*E283)^'CMOS FOM coeff. calculation'!$N$3*R283^'CMOS FOM coeff. calculation'!$O$3*N283^'CMOS FOM coeff. calculation'!$M$3))</f>
        <v>15.893978691278516</v>
      </c>
      <c r="Y283" s="68"/>
      <c r="Z283" t="s">
        <v>734</v>
      </c>
      <c r="AA283" s="3"/>
    </row>
    <row r="284" spans="1:27">
      <c r="A284" s="82">
        <v>43678</v>
      </c>
      <c r="B284" s="8" t="s">
        <v>2517</v>
      </c>
      <c r="C284" t="s">
        <v>2518</v>
      </c>
      <c r="D284" s="7" t="s">
        <v>2519</v>
      </c>
      <c r="E284" s="1">
        <v>2.8000000000000001E-2</v>
      </c>
      <c r="F284" s="1">
        <v>2.1</v>
      </c>
      <c r="G284" s="1">
        <v>1.05</v>
      </c>
      <c r="H284" s="1">
        <v>-10</v>
      </c>
      <c r="I284" s="1">
        <v>5.2</v>
      </c>
      <c r="K284" s="1">
        <v>-10.9</v>
      </c>
      <c r="L284" s="1">
        <v>30</v>
      </c>
      <c r="M284" s="1">
        <v>1.3</v>
      </c>
      <c r="N284" s="1">
        <v>56</v>
      </c>
      <c r="P284" s="1">
        <v>0.32</v>
      </c>
      <c r="Q284" s="118">
        <f t="shared" si="70"/>
        <v>2.313624839665577</v>
      </c>
      <c r="R284" s="119">
        <f t="shared" si="71"/>
        <v>670.95120350301727</v>
      </c>
      <c r="S284" s="118" t="str">
        <f t="shared" si="72"/>
        <v/>
      </c>
      <c r="T284" s="118">
        <f t="shared" si="73"/>
        <v>30.033520395014584</v>
      </c>
      <c r="U284" s="118">
        <f t="shared" si="74"/>
        <v>-28.959456079234855</v>
      </c>
      <c r="V284" s="118" t="e">
        <f t="shared" si="75"/>
        <v>#N/A</v>
      </c>
      <c r="W284" s="118" t="e">
        <f t="shared" si="76"/>
        <v>#N/A</v>
      </c>
      <c r="X284" s="118">
        <f>IF(OR(N284="",R284=""),NA(),10*LOG10((G284+'CMOS FOM coeff. calculation'!$Q$3)^'CMOS FOM coeff. calculation'!$P$3*(1000*E284)^'CMOS FOM coeff. calculation'!$N$3*R284^'CMOS FOM coeff. calculation'!$O$3*N284^'CMOS FOM coeff. calculation'!$M$3))</f>
        <v>4.8589086129278334</v>
      </c>
      <c r="Y284" s="68"/>
      <c r="Z284" t="s">
        <v>2520</v>
      </c>
      <c r="AA284" s="3"/>
    </row>
    <row r="285" spans="1:27">
      <c r="A285" s="82">
        <v>43952</v>
      </c>
      <c r="B285" s="8" t="s">
        <v>2525</v>
      </c>
      <c r="C285" t="s">
        <v>2526</v>
      </c>
      <c r="D285" s="7" t="s">
        <v>2527</v>
      </c>
      <c r="E285" s="1">
        <v>2.1999999999999999E-2</v>
      </c>
      <c r="F285" s="1">
        <v>10</v>
      </c>
      <c r="G285" s="1">
        <v>27</v>
      </c>
      <c r="H285" s="1">
        <v>-10</v>
      </c>
      <c r="I285" s="1">
        <v>1.7</v>
      </c>
      <c r="K285" s="1">
        <v>-13.4</v>
      </c>
      <c r="L285" s="1">
        <v>21.5</v>
      </c>
      <c r="M285" s="1">
        <v>1.05</v>
      </c>
      <c r="N285" s="1">
        <v>17.3</v>
      </c>
      <c r="O285" s="1">
        <v>0.05</v>
      </c>
      <c r="Q285" s="118">
        <f t="shared" si="70"/>
        <v>0.48252439931175994</v>
      </c>
      <c r="R285" s="119">
        <f t="shared" si="71"/>
        <v>139.93207580041039</v>
      </c>
      <c r="S285" s="118" t="str">
        <f t="shared" si="72"/>
        <v/>
      </c>
      <c r="T285" s="118">
        <f t="shared" si="73"/>
        <v>13.52061895928513</v>
      </c>
      <c r="U285" s="118">
        <f t="shared" si="74"/>
        <v>-10.187285625951796</v>
      </c>
      <c r="V285" s="118" t="e">
        <f t="shared" si="75"/>
        <v>#N/A</v>
      </c>
      <c r="W285" s="118" t="e">
        <f t="shared" si="76"/>
        <v>#N/A</v>
      </c>
      <c r="X285" s="118">
        <f>IF(OR(N285="",R285=""),NA(),10*LOG10((G285+'CMOS FOM coeff. calculation'!$Q$3)^'CMOS FOM coeff. calculation'!$P$3*(1000*E285)^'CMOS FOM coeff. calculation'!$N$3*R285^'CMOS FOM coeff. calculation'!$O$3*N285^'CMOS FOM coeff. calculation'!$M$3))</f>
        <v>19.905555390279311</v>
      </c>
      <c r="Y285" s="68"/>
      <c r="Z285" s="66" t="s">
        <v>2528</v>
      </c>
      <c r="AA285" s="3"/>
    </row>
    <row r="286" spans="1:27">
      <c r="A286" s="82"/>
      <c r="B286" s="8"/>
      <c r="D286" s="7"/>
      <c r="E286" s="1">
        <v>2.1999999999999999E-2</v>
      </c>
      <c r="F286" s="1">
        <v>10</v>
      </c>
      <c r="G286" s="1">
        <v>27</v>
      </c>
      <c r="H286" s="1">
        <v>-10</v>
      </c>
      <c r="I286" s="1">
        <v>2.1</v>
      </c>
      <c r="K286" s="1">
        <v>-14.4</v>
      </c>
      <c r="L286" s="1">
        <v>17.899999999999999</v>
      </c>
      <c r="M286" s="1">
        <v>1.05</v>
      </c>
      <c r="N286" s="1">
        <v>5.6</v>
      </c>
      <c r="O286" s="1">
        <v>0.05</v>
      </c>
      <c r="Q286" s="118">
        <f t="shared" si="70"/>
        <v>0.63206092526636026</v>
      </c>
      <c r="R286" s="119">
        <f t="shared" si="71"/>
        <v>183.29766832724448</v>
      </c>
      <c r="S286" s="118" t="str">
        <f t="shared" si="72"/>
        <v/>
      </c>
      <c r="T286" s="118">
        <f t="shared" si="73"/>
        <v>13.060155343728699</v>
      </c>
      <c r="U286" s="118">
        <f t="shared" si="74"/>
        <v>-9.7268220103953649</v>
      </c>
      <c r="V286" s="118" t="e">
        <f t="shared" si="75"/>
        <v>#N/A</v>
      </c>
      <c r="W286" s="118" t="e">
        <f t="shared" si="76"/>
        <v>#N/A</v>
      </c>
      <c r="X286" s="118">
        <f>IF(OR(N286="",R286=""),NA(),10*LOG10((G286+'CMOS FOM coeff. calculation'!$Q$3)^'CMOS FOM coeff. calculation'!$P$3*(1000*E286)^'CMOS FOM coeff. calculation'!$N$3*R286^'CMOS FOM coeff. calculation'!$O$3*N286^'CMOS FOM coeff. calculation'!$M$3))</f>
        <v>19.830114568157502</v>
      </c>
      <c r="Y286" s="68"/>
      <c r="AA286" s="3"/>
    </row>
    <row r="287" spans="1:27">
      <c r="A287" s="82">
        <v>44044</v>
      </c>
      <c r="B287" s="8" t="s">
        <v>2529</v>
      </c>
      <c r="C287" t="s">
        <v>2530</v>
      </c>
      <c r="D287" s="7" t="s">
        <v>2531</v>
      </c>
      <c r="E287" s="1">
        <v>6.5000000000000002E-2</v>
      </c>
      <c r="F287" s="1">
        <v>0.2</v>
      </c>
      <c r="G287" s="1">
        <v>2.4</v>
      </c>
      <c r="H287" s="1">
        <v>-10</v>
      </c>
      <c r="I287" s="1">
        <v>6.8</v>
      </c>
      <c r="J287" s="1">
        <v>-24.7</v>
      </c>
      <c r="K287" s="1">
        <v>-2.2000000000000002</v>
      </c>
      <c r="L287" s="1">
        <v>11</v>
      </c>
      <c r="M287" s="1">
        <v>0.5</v>
      </c>
      <c r="N287" s="1">
        <v>0.17399999999999999</v>
      </c>
      <c r="P287" s="1">
        <v>0.17</v>
      </c>
      <c r="Q287" s="118">
        <f t="shared" si="70"/>
        <v>4.1130088273497982</v>
      </c>
      <c r="R287" s="119">
        <f t="shared" si="71"/>
        <v>1192.7725599314415</v>
      </c>
      <c r="S287" s="118">
        <f t="shared" si="72"/>
        <v>3.9269510318767249E-2</v>
      </c>
      <c r="T287" s="118">
        <f t="shared" si="73"/>
        <v>16.903174210233967</v>
      </c>
      <c r="U287" s="118">
        <f t="shared" si="74"/>
        <v>-19.233074224687364</v>
      </c>
      <c r="V287" s="118">
        <f t="shared" si="75"/>
        <v>-16.368568746498401</v>
      </c>
      <c r="W287" s="118">
        <f t="shared" si="76"/>
        <v>-18.698468760951798</v>
      </c>
      <c r="X287" s="118">
        <f>IF(OR(N287="",R287=""),NA(),10*LOG10((G287+'CMOS FOM coeff. calculation'!$Q$3)^'CMOS FOM coeff. calculation'!$P$3*(1000*E287)^'CMOS FOM coeff. calculation'!$N$3*R287^'CMOS FOM coeff. calculation'!$O$3*N287^'CMOS FOM coeff. calculation'!$M$3))</f>
        <v>10.922438005298613</v>
      </c>
      <c r="Y287" s="68"/>
      <c r="Z287" s="66" t="s">
        <v>2532</v>
      </c>
      <c r="AA287" s="3"/>
    </row>
    <row r="288" spans="1:27" ht="18">
      <c r="A288" s="82">
        <v>44105</v>
      </c>
      <c r="B288" s="8" t="s">
        <v>2533</v>
      </c>
      <c r="C288" t="s">
        <v>2534</v>
      </c>
      <c r="D288" t="s">
        <v>2535</v>
      </c>
      <c r="E288" s="1">
        <v>6.5000000000000002E-2</v>
      </c>
      <c r="F288" s="1">
        <f>21.6-16</f>
        <v>5.6000000000000014</v>
      </c>
      <c r="G288" s="1">
        <f>(21.6+16)/2</f>
        <v>18.8</v>
      </c>
      <c r="H288" s="1">
        <v>-10</v>
      </c>
      <c r="I288" s="1">
        <v>3.3</v>
      </c>
      <c r="J288" s="1">
        <v>-24</v>
      </c>
      <c r="L288" s="1">
        <v>14.9</v>
      </c>
      <c r="M288" s="1">
        <v>1</v>
      </c>
      <c r="N288" s="1">
        <v>1.9</v>
      </c>
      <c r="P288" s="1">
        <f>0.6*0.7</f>
        <v>0.42</v>
      </c>
      <c r="Q288" s="118">
        <f t="shared" ref="Q288:Q299" si="77">IF(OR(I288="",L288=""),"",(10^(I288/10)-1)*10^(L288/10)/(10^(L288/10)-1))</f>
        <v>1.1760172621493603</v>
      </c>
      <c r="R288" s="119">
        <f t="shared" ref="R288:R299" si="78">IF(Q288="","",290*Q288)</f>
        <v>341.0450060233145</v>
      </c>
      <c r="S288" s="118">
        <f t="shared" ref="S288:S299" si="79">IF(OR(J288="",L288=""),"",10^(J288/10)*(10^(L288/10)-1))</f>
        <v>0.11904580537570321</v>
      </c>
      <c r="T288" s="118">
        <f t="shared" ref="T288:T298" si="80">IF(OR(Q288="",N288="",E288="",G288=""),NA(),10*LOG10(Q288*N288^(1/3)*E288^(-4/3)*G288^(-2/3)))</f>
        <v>8.9667518852241361</v>
      </c>
      <c r="U288" s="118">
        <f t="shared" ref="U288:U298" si="81">IF(OR(ISNA(T288),F288=""),NA(),10*LOG10(F288^(1/3))-T288)</f>
        <v>-6.4727917952034684</v>
      </c>
      <c r="V288" s="118">
        <f t="shared" ref="V288:V295" si="82">IF(OR(ISNA(T288),S288=""),NA(),10*LOG10(S288^(1/3)*E288*G288^(1/3)/Q288/N288^(2/3)))</f>
        <v>-13.267120916492033</v>
      </c>
      <c r="W288" s="118">
        <f t="shared" ref="W288:W295" si="83">IF(OR(ISNA(V288),F288=""),NA(),V288+10*LOG10(F288^(1/3)))</f>
        <v>-10.773160826471365</v>
      </c>
      <c r="X288" s="118">
        <f>IF(OR(N288="",R288=""),NA(),10*LOG10((G288+'CMOS FOM coeff. calculation'!$Q$3)^'CMOS FOM coeff. calculation'!$P$3*(1000*E288)^'CMOS FOM coeff. calculation'!$N$3*R288^'CMOS FOM coeff. calculation'!$O$3*N288^'CMOS FOM coeff. calculation'!$M$3))</f>
        <v>19.707859841921895</v>
      </c>
      <c r="Y288" s="68"/>
      <c r="Z288" s="83" t="s">
        <v>2536</v>
      </c>
      <c r="AA288" s="3"/>
    </row>
    <row r="289" spans="1:27">
      <c r="A289" s="82">
        <v>44166</v>
      </c>
      <c r="B289" s="8" t="s">
        <v>2715</v>
      </c>
      <c r="C289" t="s">
        <v>2714</v>
      </c>
      <c r="D289" s="7" t="s">
        <v>2713</v>
      </c>
      <c r="E289" s="1">
        <v>4.4999999999999998E-2</v>
      </c>
      <c r="F289" s="1">
        <v>15</v>
      </c>
      <c r="G289" s="1">
        <v>80.5</v>
      </c>
      <c r="I289" s="1">
        <v>4.8</v>
      </c>
      <c r="J289" s="1">
        <v>-7.4</v>
      </c>
      <c r="K289" s="1">
        <v>2.2000000000000002</v>
      </c>
      <c r="L289" s="1">
        <v>16.8</v>
      </c>
      <c r="P289" s="1">
        <v>0.63</v>
      </c>
      <c r="Q289" s="118">
        <f t="shared" si="77"/>
        <v>2.0630550497334874</v>
      </c>
      <c r="R289" s="119">
        <f t="shared" si="78"/>
        <v>598.28596442271134</v>
      </c>
      <c r="S289" s="118">
        <f t="shared" si="79"/>
        <v>8.5276658136998158</v>
      </c>
      <c r="T289" s="118" t="e">
        <f t="shared" si="80"/>
        <v>#N/A</v>
      </c>
      <c r="U289" s="118" t="e">
        <f t="shared" si="81"/>
        <v>#N/A</v>
      </c>
      <c r="V289" s="118" t="e">
        <f t="shared" si="82"/>
        <v>#N/A</v>
      </c>
      <c r="W289" s="118" t="e">
        <f t="shared" si="83"/>
        <v>#N/A</v>
      </c>
      <c r="X289" s="118" t="e">
        <f>IF(OR(N289="",R289=""),NA(),10*LOG10((G289+'CMOS FOM coeff. calculation'!$Q$3)^'CMOS FOM coeff. calculation'!$P$3*(1000*E289)^'CMOS FOM coeff. calculation'!$N$3*R289^'CMOS FOM coeff. calculation'!$O$3*N289^'CMOS FOM coeff. calculation'!$M$3))</f>
        <v>#N/A</v>
      </c>
      <c r="Y289" s="68"/>
      <c r="Z289" s="83" t="s">
        <v>2815</v>
      </c>
      <c r="AA289" s="3"/>
    </row>
    <row r="290" spans="1:27">
      <c r="A290" s="82">
        <v>44197</v>
      </c>
      <c r="B290" s="8" t="s">
        <v>2830</v>
      </c>
      <c r="C290" t="s">
        <v>2831</v>
      </c>
      <c r="D290" s="7" t="s">
        <v>2832</v>
      </c>
      <c r="E290" s="1">
        <v>5.5E-2</v>
      </c>
      <c r="F290" s="1">
        <v>5.5</v>
      </c>
      <c r="G290" s="1">
        <v>9.25</v>
      </c>
      <c r="H290" s="1">
        <v>-14</v>
      </c>
      <c r="I290" s="1">
        <v>3.26</v>
      </c>
      <c r="J290" s="1">
        <v>-12.2</v>
      </c>
      <c r="K290" s="1">
        <v>-5.94</v>
      </c>
      <c r="L290" s="1">
        <v>20.2</v>
      </c>
      <c r="M290" s="1">
        <v>1.3</v>
      </c>
      <c r="N290" s="1">
        <v>75</v>
      </c>
      <c r="O290" s="1">
        <f>1.44*0.68</f>
        <v>0.97920000000000007</v>
      </c>
      <c r="Q290" s="118">
        <f t="shared" si="77"/>
        <v>1.1291443803664793</v>
      </c>
      <c r="R290" s="119">
        <f t="shared" si="78"/>
        <v>327.45187030627903</v>
      </c>
      <c r="S290" s="118">
        <f t="shared" si="79"/>
        <v>6.2493174861944949</v>
      </c>
      <c r="T290" s="118">
        <f t="shared" si="80"/>
        <v>17.131918240775398</v>
      </c>
      <c r="U290" s="118">
        <f t="shared" si="81"/>
        <v>-14.664042609127918</v>
      </c>
      <c r="V290" s="118">
        <f t="shared" si="82"/>
        <v>-19.751028563399814</v>
      </c>
      <c r="W290" s="118">
        <f t="shared" si="83"/>
        <v>-17.283152931752333</v>
      </c>
      <c r="X290" s="118">
        <f>IF(OR(N290="",R290=""),NA(),10*LOG10((G290+'CMOS FOM coeff. calculation'!$Q$3)^'CMOS FOM coeff. calculation'!$P$3*(1000*E290)^'CMOS FOM coeff. calculation'!$N$3*R290^'CMOS FOM coeff. calculation'!$O$3*N290^'CMOS FOM coeff. calculation'!$M$3))</f>
        <v>13.198945962719863</v>
      </c>
      <c r="Y290" s="68"/>
      <c r="Z290" s="83" t="s">
        <v>2833</v>
      </c>
      <c r="AA290" s="3"/>
    </row>
    <row r="291" spans="1:27" ht="15" customHeight="1">
      <c r="A291" s="82">
        <v>44228</v>
      </c>
      <c r="B291" s="8" t="s">
        <v>2537</v>
      </c>
      <c r="C291" t="s">
        <v>2538</v>
      </c>
      <c r="D291" t="s">
        <v>2539</v>
      </c>
      <c r="E291" s="1">
        <v>2.8000000000000001E-2</v>
      </c>
      <c r="F291" s="1">
        <f>4.5-0.02</f>
        <v>4.4800000000000004</v>
      </c>
      <c r="G291" s="1">
        <f>4.52/2</f>
        <v>2.2599999999999998</v>
      </c>
      <c r="H291" s="1">
        <v>-10</v>
      </c>
      <c r="I291" s="1">
        <v>2.09</v>
      </c>
      <c r="K291" s="1">
        <v>-3.53</v>
      </c>
      <c r="L291" s="1">
        <v>15.2</v>
      </c>
      <c r="M291" s="1">
        <v>1</v>
      </c>
      <c r="N291" s="1">
        <v>4.5</v>
      </c>
      <c r="O291" s="1">
        <v>0.03</v>
      </c>
      <c r="Q291" s="118">
        <f t="shared" si="77"/>
        <v>0.63732700551056909</v>
      </c>
      <c r="R291" s="119">
        <f t="shared" si="78"/>
        <v>184.82483159806503</v>
      </c>
      <c r="S291" s="118" t="str">
        <f t="shared" si="79"/>
        <v/>
      </c>
      <c r="T291" s="118">
        <f t="shared" si="80"/>
        <v>18.564834913034275</v>
      </c>
      <c r="U291" s="118">
        <f t="shared" si="81"/>
        <v>-16.393908199707127</v>
      </c>
      <c r="V291" s="118" t="e">
        <f t="shared" si="82"/>
        <v>#N/A</v>
      </c>
      <c r="W291" s="118" t="e">
        <f t="shared" si="83"/>
        <v>#N/A</v>
      </c>
      <c r="X291" s="118">
        <f>IF(OR(N291="",R291=""),NA(),10*LOG10((G291+'CMOS FOM coeff. calculation'!$Q$3)^'CMOS FOM coeff. calculation'!$P$3*(1000*E291)^'CMOS FOM coeff. calculation'!$N$3*R291^'CMOS FOM coeff. calculation'!$O$3*N291^'CMOS FOM coeff. calculation'!$M$3))</f>
        <v>12.75143493688341</v>
      </c>
      <c r="Y291" s="68"/>
      <c r="Z291" s="66" t="s">
        <v>2540</v>
      </c>
      <c r="AA291" s="3"/>
    </row>
    <row r="292" spans="1:27" ht="15" customHeight="1">
      <c r="A292" s="3" t="s">
        <v>2910</v>
      </c>
      <c r="B292" s="8" t="s">
        <v>2822</v>
      </c>
      <c r="C292" t="s">
        <v>2823</v>
      </c>
      <c r="D292" s="7" t="s">
        <v>2824</v>
      </c>
      <c r="E292" s="1">
        <v>0.04</v>
      </c>
      <c r="F292" s="1">
        <v>40</v>
      </c>
      <c r="G292" s="1">
        <v>125</v>
      </c>
      <c r="H292" s="1">
        <v>-10</v>
      </c>
      <c r="I292" s="1">
        <v>6</v>
      </c>
      <c r="L292" s="1">
        <v>18.3</v>
      </c>
      <c r="N292" s="1">
        <v>35</v>
      </c>
      <c r="Q292" s="118">
        <f t="shared" si="77"/>
        <v>3.0258269660005426</v>
      </c>
      <c r="R292" s="119">
        <f t="shared" si="78"/>
        <v>877.48982014015735</v>
      </c>
      <c r="S292" s="118" t="str">
        <f t="shared" si="79"/>
        <v/>
      </c>
      <c r="T292" s="118">
        <f t="shared" si="80"/>
        <v>14.615134399755727</v>
      </c>
      <c r="U292" s="118">
        <f t="shared" si="81"/>
        <v>-9.2749344286625188</v>
      </c>
      <c r="V292" s="118" t="e">
        <f t="shared" si="82"/>
        <v>#N/A</v>
      </c>
      <c r="W292" s="118" t="e">
        <f t="shared" si="83"/>
        <v>#N/A</v>
      </c>
      <c r="X292" s="118">
        <f>IF(OR(N292="",R292=""),NA(),10*LOG10((G292+'CMOS FOM coeff. calculation'!$Q$3)^'CMOS FOM coeff. calculation'!$P$3*(1000*E292)^'CMOS FOM coeff. calculation'!$N$3*R292^'CMOS FOM coeff. calculation'!$O$3*N292^'CMOS FOM coeff. calculation'!$M$3))</f>
        <v>24.509889774282222</v>
      </c>
      <c r="Y292" s="68"/>
      <c r="Z292" s="66" t="s">
        <v>2825</v>
      </c>
      <c r="AA292" s="3"/>
    </row>
    <row r="293" spans="1:27" ht="15" customHeight="1">
      <c r="A293" t="s">
        <v>2943</v>
      </c>
      <c r="B293" s="8" t="s">
        <v>2945</v>
      </c>
      <c r="C293" t="s">
        <v>2946</v>
      </c>
      <c r="D293" s="7" t="s">
        <v>2947</v>
      </c>
      <c r="E293" s="1">
        <v>6.5000000000000002E-2</v>
      </c>
      <c r="F293" s="1">
        <v>4</v>
      </c>
      <c r="G293" s="1">
        <v>19</v>
      </c>
      <c r="H293" s="1">
        <v>-10</v>
      </c>
      <c r="I293" s="1">
        <v>2.1</v>
      </c>
      <c r="Q293" s="118" t="str">
        <f t="shared" si="77"/>
        <v/>
      </c>
      <c r="R293" s="119" t="str">
        <f t="shared" si="78"/>
        <v/>
      </c>
      <c r="S293" s="118" t="str">
        <f t="shared" si="79"/>
        <v/>
      </c>
      <c r="T293" s="118" t="e">
        <f t="shared" si="80"/>
        <v>#N/A</v>
      </c>
      <c r="U293" s="118" t="e">
        <f t="shared" si="81"/>
        <v>#N/A</v>
      </c>
      <c r="V293" s="118" t="e">
        <f t="shared" si="82"/>
        <v>#N/A</v>
      </c>
      <c r="W293" s="118" t="e">
        <f t="shared" si="83"/>
        <v>#N/A</v>
      </c>
      <c r="X293" s="118" t="e">
        <f>IF(OR(N293="",R293=""),NA(),10*LOG10((G293+'CMOS FOM coeff. calculation'!$Q$3)^'CMOS FOM coeff. calculation'!$P$3*(1000*E293)^'CMOS FOM coeff. calculation'!$N$3*R293^'CMOS FOM coeff. calculation'!$O$3*N293^'CMOS FOM coeff. calculation'!$M$3))</f>
        <v>#N/A</v>
      </c>
      <c r="Y293" s="68"/>
      <c r="Z293" s="66" t="s">
        <v>2944</v>
      </c>
      <c r="AA293" s="3"/>
    </row>
    <row r="294" spans="1:27" ht="15" customHeight="1">
      <c r="A294" t="s">
        <v>3028</v>
      </c>
      <c r="B294" s="8" t="s">
        <v>2948</v>
      </c>
      <c r="C294" t="s">
        <v>2949</v>
      </c>
      <c r="D294" s="7" t="s">
        <v>2950</v>
      </c>
      <c r="E294" s="1">
        <v>2.8000000000000001E-2</v>
      </c>
      <c r="F294" s="1">
        <v>15.3</v>
      </c>
      <c r="G294" s="1">
        <v>30.55</v>
      </c>
      <c r="H294" s="1">
        <v>-10</v>
      </c>
      <c r="I294" s="1">
        <v>2.65</v>
      </c>
      <c r="J294" s="1">
        <v>-6.6</v>
      </c>
      <c r="K294" s="1">
        <v>3.2</v>
      </c>
      <c r="L294" s="1">
        <v>14.5</v>
      </c>
      <c r="M294" s="1">
        <v>0.9</v>
      </c>
      <c r="N294" s="1">
        <v>18.899999999999999</v>
      </c>
      <c r="O294" s="1">
        <v>0.16262100000000002</v>
      </c>
      <c r="Q294" s="118">
        <f t="shared" si="77"/>
        <v>0.87170112450747783</v>
      </c>
      <c r="R294" s="119">
        <f t="shared" si="78"/>
        <v>252.79332610716858</v>
      </c>
      <c r="S294" s="118">
        <f t="shared" si="79"/>
        <v>5.9471738562198695</v>
      </c>
      <c r="T294" s="118">
        <f t="shared" si="80"/>
        <v>14.463033561148055</v>
      </c>
      <c r="U294" s="118">
        <f t="shared" si="81"/>
        <v>-10.514062125089392</v>
      </c>
      <c r="V294" s="118">
        <f t="shared" si="82"/>
        <v>-15.910768279471437</v>
      </c>
      <c r="W294" s="118">
        <f t="shared" si="83"/>
        <v>-11.961796843412774</v>
      </c>
      <c r="X294" s="118">
        <f>IF(OR(N294="",R294=""),NA(),10*LOG10((G294+'CMOS FOM coeff. calculation'!$Q$3)^'CMOS FOM coeff. calculation'!$P$3*(1000*E294)^'CMOS FOM coeff. calculation'!$N$3*R294^'CMOS FOM coeff. calculation'!$O$3*N294^'CMOS FOM coeff. calculation'!$M$3))</f>
        <v>18.968152966905468</v>
      </c>
      <c r="Y294" s="68"/>
      <c r="Z294" s="66" t="s">
        <v>2951</v>
      </c>
      <c r="AA294" s="3"/>
    </row>
    <row r="295" spans="1:27" ht="15" customHeight="1">
      <c r="A295" t="s">
        <v>3147</v>
      </c>
      <c r="B295" s="8" t="s">
        <v>3100</v>
      </c>
      <c r="C295" t="s">
        <v>3101</v>
      </c>
      <c r="D295" s="7" t="s">
        <v>3102</v>
      </c>
      <c r="E295" s="1">
        <v>2.1999999999999999E-2</v>
      </c>
      <c r="F295" s="1">
        <v>33</v>
      </c>
      <c r="G295" s="1">
        <v>138.5</v>
      </c>
      <c r="H295" s="1">
        <v>-10</v>
      </c>
      <c r="I295" s="1">
        <v>9.1999999999999993</v>
      </c>
      <c r="J295" s="1">
        <v>-24</v>
      </c>
      <c r="L295" s="1">
        <v>20</v>
      </c>
      <c r="M295" s="1">
        <v>0.8</v>
      </c>
      <c r="N295" s="1">
        <v>20</v>
      </c>
      <c r="P295" s="1">
        <v>3.2000000000000001E-2</v>
      </c>
      <c r="Q295" s="118">
        <f t="shared" si="77"/>
        <v>7.391553243461324</v>
      </c>
      <c r="R295" s="119">
        <f t="shared" si="78"/>
        <v>2143.550440603784</v>
      </c>
      <c r="S295" s="118">
        <f t="shared" si="79"/>
        <v>0.39412609884796218</v>
      </c>
      <c r="T295" s="118">
        <f t="shared" si="80"/>
        <v>20.848822847883426</v>
      </c>
      <c r="U295" s="118">
        <f t="shared" si="81"/>
        <v>-15.787109714957133</v>
      </c>
      <c r="V295" s="118">
        <f t="shared" si="82"/>
        <v>-28.146380365513775</v>
      </c>
      <c r="W295" s="118">
        <f t="shared" si="83"/>
        <v>-23.084667232587481</v>
      </c>
      <c r="X295" s="118">
        <f>IF(OR(N295="",R295=""),NA(),10*LOG10((G295+'CMOS FOM coeff. calculation'!$Q$3)^'CMOS FOM coeff. calculation'!$P$3*(1000*E295)^'CMOS FOM coeff. calculation'!$N$3*R295^'CMOS FOM coeff. calculation'!$O$3*N295^'CMOS FOM coeff. calculation'!$M$3))</f>
        <v>20.491476148092886</v>
      </c>
      <c r="Y295" s="68"/>
      <c r="Z295" s="66" t="s">
        <v>3103</v>
      </c>
      <c r="AA295" s="3"/>
    </row>
    <row r="296" spans="1:27" ht="15" customHeight="1">
      <c r="A296" t="s">
        <v>3425</v>
      </c>
      <c r="B296" s="8" t="s">
        <v>3426</v>
      </c>
      <c r="C296" t="s">
        <v>3428</v>
      </c>
      <c r="D296" s="7" t="s">
        <v>3427</v>
      </c>
      <c r="E296" s="1">
        <v>0.04</v>
      </c>
      <c r="F296" s="1">
        <v>22.1</v>
      </c>
      <c r="G296" s="1">
        <v>62.65</v>
      </c>
      <c r="H296" s="1">
        <v>-10</v>
      </c>
      <c r="I296" s="1">
        <v>3.78</v>
      </c>
      <c r="J296" s="1">
        <v>-10</v>
      </c>
      <c r="L296" s="1">
        <v>22.4</v>
      </c>
      <c r="N296" s="1">
        <v>26</v>
      </c>
      <c r="O296" s="1">
        <v>0.12</v>
      </c>
      <c r="Q296" s="118">
        <f t="shared" si="77"/>
        <v>1.3958435240130835</v>
      </c>
      <c r="R296" s="119">
        <f t="shared" si="78"/>
        <v>404.79462196379421</v>
      </c>
      <c r="S296" s="118">
        <f t="shared" si="79"/>
        <v>17.278008287493755</v>
      </c>
      <c r="T296" s="118">
        <f t="shared" si="80"/>
        <v>12.824671466707279</v>
      </c>
      <c r="U296" s="118">
        <f t="shared" si="81"/>
        <v>-8.3433638877569116</v>
      </c>
      <c r="V296" s="118">
        <f>IF(OR(ISNA(T296),S296=""),NA(),10*LOG10(S296^(1/3)*E296*G296^(1/3)/Q296/N296^(2/3)))</f>
        <v>-14.746207255535227</v>
      </c>
      <c r="W296" s="118">
        <f>IF(OR(ISNA(V296),F296=""),NA(),V296+10*LOG10(F296^(1/3)))</f>
        <v>-10.264899676584857</v>
      </c>
      <c r="X296" s="118">
        <f>IF(OR(N296="",R296=""),NA(),10*LOG10((G296+'CMOS FOM coeff. calculation'!$Q$3)^'CMOS FOM coeff. calculation'!$P$3*(1000*E296)^'CMOS FOM coeff. calculation'!$N$3*R296^'CMOS FOM coeff. calculation'!$O$3*N296^'CMOS FOM coeff. calculation'!$M$3))</f>
        <v>22.632238074938115</v>
      </c>
      <c r="Y296" s="68"/>
      <c r="Z296" s="66" t="s">
        <v>3429</v>
      </c>
      <c r="AA296" s="3"/>
    </row>
    <row r="297" spans="1:27" ht="15" customHeight="1">
      <c r="A297" t="s">
        <v>3834</v>
      </c>
      <c r="B297" s="8" t="s">
        <v>3609</v>
      </c>
      <c r="C297" t="s">
        <v>3610</v>
      </c>
      <c r="D297" s="7" t="s">
        <v>3611</v>
      </c>
      <c r="E297" s="1">
        <v>0.04</v>
      </c>
      <c r="F297" s="1">
        <v>16</v>
      </c>
      <c r="G297" s="1">
        <v>78</v>
      </c>
      <c r="H297" s="1">
        <v>-10</v>
      </c>
      <c r="I297" s="1">
        <v>4.8</v>
      </c>
      <c r="J297" s="1">
        <v>-8.5</v>
      </c>
      <c r="K297" s="1">
        <v>-0.7</v>
      </c>
      <c r="L297" s="1">
        <v>16.5</v>
      </c>
      <c r="M297" s="1">
        <v>1.1000000000000001</v>
      </c>
      <c r="N297" s="1">
        <v>24</v>
      </c>
      <c r="O297" s="1">
        <v>8.5000000000000006E-2</v>
      </c>
      <c r="Q297" s="118">
        <f t="shared" si="77"/>
        <v>2.0662083638094866</v>
      </c>
      <c r="R297" s="119">
        <f t="shared" si="78"/>
        <v>599.20042550475114</v>
      </c>
      <c r="S297" s="118">
        <f t="shared" si="79"/>
        <v>6.1683196903396587</v>
      </c>
      <c r="T297" s="118">
        <f t="shared" si="80"/>
        <v>13.777681388670874</v>
      </c>
      <c r="U297" s="118">
        <f t="shared" si="81"/>
        <v>-9.7639481131511268</v>
      </c>
      <c r="V297" s="118">
        <f>IF(OR(ISNA(T297),S297=""),NA(),10*LOG10(S297^(1/3)*E297*G297^(1/3)/Q297/N297^(2/3)))</f>
        <v>-17.391677927281904</v>
      </c>
      <c r="W297" s="118">
        <f>IF(OR(ISNA(V297),F297=""),NA(),V297+10*LOG10(F297^(1/3)))</f>
        <v>-13.377944651762157</v>
      </c>
      <c r="X297" s="118">
        <f>IF(OR(N297="",R297=""),NA(),10*LOG10((G297+'CMOS FOM coeff. calculation'!$Q$3)^'CMOS FOM coeff. calculation'!$P$3*(1000*E297)^'CMOS FOM coeff. calculation'!$N$3*R297^'CMOS FOM coeff. calculation'!$O$3*N297^'CMOS FOM coeff. calculation'!$M$3))</f>
        <v>22.7504668591071</v>
      </c>
      <c r="Y297" s="68"/>
      <c r="Z297" s="66" t="s">
        <v>3612</v>
      </c>
      <c r="AA297" s="3"/>
    </row>
    <row r="298" spans="1:27" ht="15" customHeight="1">
      <c r="A298" t="s">
        <v>3592</v>
      </c>
      <c r="B298" s="8" t="s">
        <v>3620</v>
      </c>
      <c r="C298" t="s">
        <v>3621</v>
      </c>
      <c r="D298" s="7" t="s">
        <v>3622</v>
      </c>
      <c r="E298" s="1">
        <v>2.8000000000000001E-2</v>
      </c>
      <c r="F298" s="1">
        <v>9.6999999999999993</v>
      </c>
      <c r="G298" s="1">
        <v>28.65</v>
      </c>
      <c r="H298" s="1">
        <v>-10</v>
      </c>
      <c r="I298" s="1">
        <v>2.5</v>
      </c>
      <c r="J298" s="1">
        <v>-15.1</v>
      </c>
      <c r="K298" s="1">
        <v>-6.8</v>
      </c>
      <c r="L298" s="1">
        <v>18.100000000000001</v>
      </c>
      <c r="M298" s="1">
        <v>1.2</v>
      </c>
      <c r="N298" s="1">
        <v>14</v>
      </c>
      <c r="O298" s="1">
        <v>0.09</v>
      </c>
      <c r="P298" s="1">
        <v>0.32</v>
      </c>
      <c r="Q298" s="118">
        <f t="shared" si="77"/>
        <v>0.79052316418212865</v>
      </c>
      <c r="R298" s="119">
        <f t="shared" si="78"/>
        <v>229.25171761281732</v>
      </c>
      <c r="S298" s="118">
        <f t="shared" si="79"/>
        <v>1.9643593606437446</v>
      </c>
      <c r="T298" s="118">
        <f t="shared" si="80"/>
        <v>13.789968195354046</v>
      </c>
      <c r="U298" s="118">
        <f t="shared" si="81"/>
        <v>-10.50072908113323</v>
      </c>
      <c r="V298" s="118">
        <f>IF(OR(ISNA(T298),S298=""),NA(),10*LOG10(S298^(1/3)*E298*G298^(1/3)/Q298/N298^(2/3)))</f>
        <v>-16.313934037381074</v>
      </c>
      <c r="W298" s="118">
        <f>IF(OR(ISNA(V298),F298=""),NA(),V298+10*LOG10(F298^(1/3)))</f>
        <v>-13.024694923160258</v>
      </c>
      <c r="X298" s="118">
        <f>IF(OR(N298="",R298=""),NA(),10*LOG10((G298+'CMOS FOM coeff. calculation'!$Q$3)^'CMOS FOM coeff. calculation'!$P$3*(1000*E298)^'CMOS FOM coeff. calculation'!$N$3*R298^'CMOS FOM coeff. calculation'!$O$3*N298^'CMOS FOM coeff. calculation'!$M$3))</f>
        <v>19.23405328942178</v>
      </c>
      <c r="Y298" s="68"/>
      <c r="Z298" s="66" t="s">
        <v>3623</v>
      </c>
      <c r="AA298" s="3"/>
    </row>
    <row r="299" spans="1:27" ht="15" customHeight="1">
      <c r="B299" s="8"/>
      <c r="D299" s="7"/>
      <c r="E299" s="1">
        <v>2.8000000000000001E-2</v>
      </c>
      <c r="F299" s="1">
        <v>7</v>
      </c>
      <c r="G299" s="1">
        <v>37.9</v>
      </c>
      <c r="H299" s="1">
        <v>-10</v>
      </c>
      <c r="I299" s="1">
        <v>2.8</v>
      </c>
      <c r="J299" s="1">
        <v>-15.2</v>
      </c>
      <c r="K299" s="1">
        <v>-8</v>
      </c>
      <c r="L299" s="1">
        <v>18.899999999999999</v>
      </c>
      <c r="M299" s="1">
        <v>1.2</v>
      </c>
      <c r="N299" s="1">
        <v>14</v>
      </c>
      <c r="O299" s="1">
        <v>0.09</v>
      </c>
      <c r="P299" s="1">
        <v>0.32</v>
      </c>
      <c r="Q299" s="118">
        <f t="shared" si="77"/>
        <v>0.9172775417830491</v>
      </c>
      <c r="R299" s="119">
        <f t="shared" si="78"/>
        <v>266.01048711708427</v>
      </c>
      <c r="S299" s="118">
        <f t="shared" si="79"/>
        <v>2.3140292981159023</v>
      </c>
      <c r="T299" s="118">
        <f t="shared" ref="T299" si="84">IF(OR(Q299="",N299="",E299="",G299=""),NA(),10*LOG10(Q299*N299^(1/3)*E299^(-4/3)*G299^(-2/3)))</f>
        <v>13.625732573551455</v>
      </c>
      <c r="U299" s="118">
        <f t="shared" ref="U299" si="85">IF(OR(ISNA(T299),F299=""),NA(),10*LOG10(F299^(1/3))-T299)</f>
        <v>-10.808739106837265</v>
      </c>
      <c r="V299" s="118">
        <f>IF(OR(ISNA(T299),S299=""),NA(),10*LOG10(S299^(1/3)*E299*G299^(1/3)/Q299/N299^(2/3)))</f>
        <v>-16.317587319217171</v>
      </c>
      <c r="W299" s="118">
        <f>IF(OR(ISNA(V299),F299=""),NA(),V299+10*LOG10(F299^(1/3)))</f>
        <v>-13.500593852502982</v>
      </c>
      <c r="X299" s="118">
        <f>IF(OR(N299="",R299=""),NA(),10*LOG10((G299+'CMOS FOM coeff. calculation'!$Q$3)^'CMOS FOM coeff. calculation'!$P$3*(1000*E299)^'CMOS FOM coeff. calculation'!$N$3*R299^'CMOS FOM coeff. calculation'!$O$3*N299^'CMOS FOM coeff. calculation'!$M$3))</f>
        <v>20.350515787862278</v>
      </c>
      <c r="Y299" s="68"/>
      <c r="Z299" s="66"/>
      <c r="AA299" s="3"/>
    </row>
    <row r="300" spans="1:27" ht="15" customHeight="1">
      <c r="A300" t="s">
        <v>3836</v>
      </c>
      <c r="B300" s="8" t="s">
        <v>3835</v>
      </c>
      <c r="C300" t="s">
        <v>3837</v>
      </c>
      <c r="D300" s="7" t="s">
        <v>3838</v>
      </c>
      <c r="E300" s="1">
        <v>0.04</v>
      </c>
      <c r="F300" s="1">
        <v>20</v>
      </c>
      <c r="G300" s="1">
        <v>11</v>
      </c>
      <c r="H300" s="1">
        <v>-7</v>
      </c>
      <c r="I300" s="1">
        <v>1.95</v>
      </c>
      <c r="J300" s="1">
        <v>-21</v>
      </c>
      <c r="K300" s="1">
        <v>-13.5</v>
      </c>
      <c r="L300" s="1">
        <v>22.4</v>
      </c>
      <c r="M300" s="1">
        <v>1.2</v>
      </c>
      <c r="N300" s="1">
        <v>25.92</v>
      </c>
      <c r="O300" s="1">
        <v>0.214</v>
      </c>
      <c r="Q300" s="118">
        <f t="shared" ref="Q300:Q301" si="86">IF(OR(I300="",L300=""),"",(10^(I300/10)-1)*10^(L300/10)/(10^(L300/10)-1))</f>
        <v>0.57003125761979889</v>
      </c>
      <c r="R300" s="119">
        <f t="shared" ref="R300:R301" si="87">IF(Q300="","",290*Q300)</f>
        <v>165.30906470974168</v>
      </c>
      <c r="S300" s="118">
        <f t="shared" ref="S300:S301" si="88">IF(OR(J300="",L300=""),"",10^(J300/10)*(10^(L300/10)-1))</f>
        <v>1.3724409822556414</v>
      </c>
      <c r="T300" s="118">
        <f t="shared" ref="T300:T301" si="89">IF(OR(Q300="",N300="",E300="",G300=""),NA(),10*LOG10(Q300*N300^(1/3)*E300^(-4/3)*G300^(-2/3)))</f>
        <v>13.967685580197639</v>
      </c>
      <c r="U300" s="118">
        <f t="shared" ref="U300:U301" si="90">IF(OR(ISNA(T300),F300=""),NA(),10*LOG10(F300^(1/3))-T300)</f>
        <v>-9.6309189279843679</v>
      </c>
      <c r="V300" s="118">
        <f t="shared" ref="V300:V301" si="91">IF(OR(ISNA(T300),S300=""),NA(),10*LOG10(S300^(1/3)*E300*G300^(1/3)/Q300/N300^(2/3)))</f>
        <v>-17.032998899211563</v>
      </c>
      <c r="W300" s="118">
        <f t="shared" ref="W300:W301" si="92">IF(OR(ISNA(V300),F300=""),NA(),V300+10*LOG10(F300^(1/3)))</f>
        <v>-12.696232246998292</v>
      </c>
      <c r="X300" s="118">
        <f>IF(OR(N300="",R300=""),NA(),10*LOG10((G300+'CMOS FOM coeff. calculation'!$Q$3)^'CMOS FOM coeff. calculation'!$P$3*(1000*E300)^'CMOS FOM coeff. calculation'!$N$3*R300^'CMOS FOM coeff. calculation'!$O$3*N300^'CMOS FOM coeff. calculation'!$M$3))</f>
        <v>16.450490741971787</v>
      </c>
      <c r="Y300" s="68"/>
      <c r="Z300" s="66" t="s">
        <v>3839</v>
      </c>
      <c r="AA300" s="3"/>
    </row>
    <row r="301" spans="1:27" ht="15" customHeight="1">
      <c r="A301" t="s">
        <v>3840</v>
      </c>
      <c r="B301" s="8" t="s">
        <v>3841</v>
      </c>
      <c r="C301" t="s">
        <v>3842</v>
      </c>
      <c r="D301" s="7" t="s">
        <v>3843</v>
      </c>
      <c r="E301" s="1">
        <v>0.11</v>
      </c>
      <c r="F301" s="1">
        <v>1.4</v>
      </c>
      <c r="G301" s="1">
        <v>7.1</v>
      </c>
      <c r="H301" s="1">
        <v>-10</v>
      </c>
      <c r="I301" s="1">
        <v>2.8</v>
      </c>
      <c r="J301" s="1">
        <v>-18</v>
      </c>
      <c r="K301" s="1">
        <v>-5.2</v>
      </c>
      <c r="L301" s="1">
        <v>13.6</v>
      </c>
      <c r="M301" s="1">
        <v>1</v>
      </c>
      <c r="N301" s="1">
        <v>1.2</v>
      </c>
      <c r="P301" s="1">
        <v>1.05</v>
      </c>
      <c r="Q301" s="118">
        <f t="shared" si="86"/>
        <v>0.94678958220656917</v>
      </c>
      <c r="R301" s="119">
        <f t="shared" si="87"/>
        <v>274.56897883990507</v>
      </c>
      <c r="S301" s="118">
        <f t="shared" si="88"/>
        <v>0.3472291228454899</v>
      </c>
      <c r="T301" s="118">
        <f t="shared" si="89"/>
        <v>7.1328473994390054</v>
      </c>
      <c r="U301" s="118">
        <f t="shared" si="90"/>
        <v>-6.6457539471782123</v>
      </c>
      <c r="V301" s="118">
        <f t="shared" si="91"/>
        <v>-8.5702345217403835</v>
      </c>
      <c r="W301" s="118">
        <f t="shared" si="92"/>
        <v>-8.0831410694795895</v>
      </c>
      <c r="X301" s="118">
        <f>IF(OR(N301="",R301=""),NA(),10*LOG10((G301+'CMOS FOM coeff. calculation'!$Q$3)^'CMOS FOM coeff. calculation'!$P$3*(1000*E301)^'CMOS FOM coeff. calculation'!$N$3*R301^'CMOS FOM coeff. calculation'!$O$3*N301^'CMOS FOM coeff. calculation'!$M$3))</f>
        <v>18.751115156131089</v>
      </c>
      <c r="Y301" s="68"/>
      <c r="Z301" s="66" t="s">
        <v>3844</v>
      </c>
      <c r="AA301" s="3"/>
    </row>
    <row r="302" spans="1:27" ht="15" customHeight="1">
      <c r="A302" s="3" t="s">
        <v>3078</v>
      </c>
      <c r="B302" s="8" t="s">
        <v>3854</v>
      </c>
      <c r="C302" t="s">
        <v>3855</v>
      </c>
      <c r="D302" s="7" t="s">
        <v>3856</v>
      </c>
      <c r="E302" s="1">
        <v>2.1999999999999999E-2</v>
      </c>
      <c r="F302" s="1">
        <v>4.0999999999999996</v>
      </c>
      <c r="G302" s="1">
        <v>7.35</v>
      </c>
      <c r="H302" s="1">
        <v>-10</v>
      </c>
      <c r="I302" s="1">
        <v>1.6</v>
      </c>
      <c r="J302" s="1">
        <v>-22.2</v>
      </c>
      <c r="K302" s="1">
        <v>-12.7</v>
      </c>
      <c r="L302" s="1">
        <v>23</v>
      </c>
      <c r="M302" s="1">
        <v>1</v>
      </c>
      <c r="N302" s="1">
        <v>20</v>
      </c>
      <c r="O302" s="1">
        <v>0.18</v>
      </c>
      <c r="Q302" s="118">
        <f t="shared" ref="Q302:Q315" si="93">IF(OR(I302="",L302=""),"",(10^(I302/10)-1)*10^(L302/10)/(10^(L302/10)-1))</f>
        <v>0.44768350331158041</v>
      </c>
      <c r="R302" s="119">
        <f t="shared" ref="R302:R315" si="94">IF(Q302="","",290*Q302)</f>
        <v>129.82821596035831</v>
      </c>
      <c r="S302" s="118">
        <f t="shared" ref="S302:S315" si="95">IF(OR(J302="",L302=""),"",10^(J302/10)*(10^(L302/10)-1))</f>
        <v>1.1962388387566696</v>
      </c>
      <c r="T302" s="118">
        <f t="shared" ref="T302:T315" si="96">IF(OR(Q302="",N302="",E302="",G302=""),NA(),10*LOG10(Q302*N302^(1/3)*E302^(-4/3)*G302^(-2/3)))</f>
        <v>17.172259560974801</v>
      </c>
      <c r="U302" s="118">
        <f t="shared" ref="U302:U315" si="97">IF(OR(ISNA(T302),F302=""),NA(),10*LOG10(F302^(1/3))-T302)</f>
        <v>-15.129646705242349</v>
      </c>
      <c r="V302" s="118">
        <f t="shared" ref="V302:V315" si="98">IF(OR(ISNA(T302),S302=""),NA(),10*LOG10(S302^(1/3)*E302*G302^(1/3)/Q302/N302^(2/3)))</f>
        <v>-18.611999950493818</v>
      </c>
      <c r="W302" s="118">
        <f t="shared" ref="W302:W315" si="99">IF(OR(ISNA(V302),F302=""),NA(),V302+10*LOG10(F302^(1/3)))</f>
        <v>-16.569387094761368</v>
      </c>
      <c r="X302" s="118">
        <f>IF(OR(N302="",R302=""),NA(),10*LOG10((G302+'CMOS FOM coeff. calculation'!$Q$3)^'CMOS FOM coeff. calculation'!$P$3*(1000*E302)^'CMOS FOM coeff. calculation'!$N$3*R302^'CMOS FOM coeff. calculation'!$O$3*N302^'CMOS FOM coeff. calculation'!$M$3))</f>
        <v>14.44352246101486</v>
      </c>
      <c r="Y302" s="68"/>
      <c r="Z302" s="103" t="s">
        <v>3857</v>
      </c>
      <c r="AA302" s="3"/>
    </row>
    <row r="303" spans="1:27" ht="15" customHeight="1">
      <c r="A303" s="3"/>
      <c r="B303" s="8"/>
      <c r="D303" s="7"/>
      <c r="E303" s="1">
        <v>2.1999999999999999E-2</v>
      </c>
      <c r="F303" s="1">
        <v>4.7</v>
      </c>
      <c r="G303" s="1">
        <v>10.65</v>
      </c>
      <c r="H303" s="1">
        <v>-10</v>
      </c>
      <c r="I303" s="1">
        <v>1.6</v>
      </c>
      <c r="J303" s="1">
        <v>-22.6</v>
      </c>
      <c r="K303" s="1">
        <v>-12.3</v>
      </c>
      <c r="L303" s="1">
        <v>22.3</v>
      </c>
      <c r="M303" s="1">
        <v>1</v>
      </c>
      <c r="N303" s="1">
        <v>20</v>
      </c>
      <c r="O303" s="1">
        <v>0.18</v>
      </c>
      <c r="Q303" s="118">
        <f t="shared" si="93"/>
        <v>0.44807825109854948</v>
      </c>
      <c r="R303" s="119">
        <f t="shared" si="94"/>
        <v>129.94269281857936</v>
      </c>
      <c r="S303" s="118">
        <f t="shared" si="95"/>
        <v>0.92775889205841422</v>
      </c>
      <c r="T303" s="118">
        <f t="shared" si="96"/>
        <v>16.102338835040747</v>
      </c>
      <c r="U303" s="118">
        <f t="shared" si="97"/>
        <v>-13.862012641921689</v>
      </c>
      <c r="V303" s="118">
        <f t="shared" si="98"/>
        <v>-18.446896030862643</v>
      </c>
      <c r="W303" s="118">
        <f t="shared" si="99"/>
        <v>-16.206569837743587</v>
      </c>
      <c r="X303" s="118">
        <f>IF(OR(N303="",R303=""),NA(),10*LOG10((G303+'CMOS FOM coeff. calculation'!$Q$3)^'CMOS FOM coeff. calculation'!$P$3*(1000*E303)^'CMOS FOM coeff. calculation'!$N$3*R303^'CMOS FOM coeff. calculation'!$O$3*N303^'CMOS FOM coeff. calculation'!$M$3))</f>
        <v>15.677659873664149</v>
      </c>
      <c r="Y303" s="68"/>
      <c r="Z303" s="103"/>
      <c r="AA303" s="3"/>
    </row>
    <row r="304" spans="1:27" ht="15" customHeight="1">
      <c r="A304" s="3"/>
      <c r="B304" s="8"/>
      <c r="D304" s="7"/>
      <c r="E304" s="1">
        <v>2.1999999999999999E-2</v>
      </c>
      <c r="F304" s="1">
        <v>6.5</v>
      </c>
      <c r="G304" s="1">
        <v>14.75</v>
      </c>
      <c r="H304" s="1">
        <v>-10</v>
      </c>
      <c r="I304" s="1">
        <v>1.8</v>
      </c>
      <c r="J304" s="1">
        <v>-18.100000000000001</v>
      </c>
      <c r="K304" s="1">
        <v>-8.6999999999999993</v>
      </c>
      <c r="L304" s="1">
        <v>17.899999999999999</v>
      </c>
      <c r="M304" s="1">
        <v>1</v>
      </c>
      <c r="N304" s="1">
        <v>20</v>
      </c>
      <c r="O304" s="1">
        <v>0.18</v>
      </c>
      <c r="Q304" s="118">
        <f t="shared" si="93"/>
        <v>0.52202754385341776</v>
      </c>
      <c r="R304" s="119">
        <f t="shared" si="94"/>
        <v>151.38798771749114</v>
      </c>
      <c r="S304" s="118">
        <f t="shared" si="95"/>
        <v>0.93950441983231026</v>
      </c>
      <c r="T304" s="118">
        <f t="shared" si="96"/>
        <v>15.822784956304334</v>
      </c>
      <c r="U304" s="118">
        <f t="shared" si="97"/>
        <v>-13.113073767494814</v>
      </c>
      <c r="V304" s="118">
        <f t="shared" si="98"/>
        <v>-18.620604520475155</v>
      </c>
      <c r="W304" s="118">
        <f t="shared" si="99"/>
        <v>-15.910893331665637</v>
      </c>
      <c r="X304" s="118">
        <f>IF(OR(N304="",R304=""),NA(),10*LOG10((G304+'CMOS FOM coeff. calculation'!$Q$3)^'CMOS FOM coeff. calculation'!$P$3*(1000*E304)^'CMOS FOM coeff. calculation'!$N$3*R304^'CMOS FOM coeff. calculation'!$O$3*N304^'CMOS FOM coeff. calculation'!$M$3))</f>
        <v>16.407047389172455</v>
      </c>
      <c r="Y304" s="68"/>
      <c r="Z304" s="103"/>
      <c r="AA304" s="3"/>
    </row>
    <row r="305" spans="1:27" ht="15" customHeight="1">
      <c r="A305" s="3"/>
      <c r="B305" s="8"/>
      <c r="D305" s="7"/>
      <c r="E305" s="1">
        <v>2.1999999999999999E-2</v>
      </c>
      <c r="F305" s="1">
        <v>10.199999999999999</v>
      </c>
      <c r="G305" s="1">
        <v>13.4</v>
      </c>
      <c r="H305" s="1">
        <v>-10</v>
      </c>
      <c r="I305" s="1">
        <v>2.4</v>
      </c>
      <c r="J305" s="1">
        <v>-14.7</v>
      </c>
      <c r="K305" s="1">
        <v>-5.6</v>
      </c>
      <c r="L305" s="1">
        <v>16.3</v>
      </c>
      <c r="M305" s="1">
        <v>1</v>
      </c>
      <c r="N305" s="1">
        <v>20</v>
      </c>
      <c r="O305" s="1">
        <v>0.18</v>
      </c>
      <c r="Q305" s="118">
        <f t="shared" si="93"/>
        <v>0.75551175296552209</v>
      </c>
      <c r="R305" s="119">
        <f t="shared" si="94"/>
        <v>219.0984083600014</v>
      </c>
      <c r="S305" s="118">
        <f t="shared" si="95"/>
        <v>1.4115553551320075</v>
      </c>
      <c r="T305" s="118">
        <f t="shared" si="96"/>
        <v>17.706177832902295</v>
      </c>
      <c r="U305" s="118">
        <f t="shared" si="97"/>
        <v>-14.344177260362571</v>
      </c>
      <c r="V305" s="118">
        <f t="shared" si="98"/>
        <v>-19.775709702474909</v>
      </c>
      <c r="W305" s="118">
        <f t="shared" si="99"/>
        <v>-16.413709129935185</v>
      </c>
      <c r="X305" s="118">
        <f>IF(OR(N305="",R305=""),NA(),10*LOG10((G305+'CMOS FOM coeff. calculation'!$Q$3)^'CMOS FOM coeff. calculation'!$P$3*(1000*E305)^'CMOS FOM coeff. calculation'!$N$3*R305^'CMOS FOM coeff. calculation'!$O$3*N305^'CMOS FOM coeff. calculation'!$M$3))</f>
        <v>14.547327411965787</v>
      </c>
      <c r="Y305" s="68"/>
      <c r="Z305" s="103"/>
      <c r="AA305" s="3"/>
    </row>
    <row r="306" spans="1:27" ht="15" customHeight="1">
      <c r="A306" s="3"/>
      <c r="B306" s="8"/>
      <c r="D306" s="7"/>
      <c r="E306" s="1">
        <v>2.1999999999999999E-2</v>
      </c>
      <c r="F306" s="1">
        <v>4.5</v>
      </c>
      <c r="G306" s="1">
        <v>7.75</v>
      </c>
      <c r="H306" s="1">
        <v>-10</v>
      </c>
      <c r="I306" s="1">
        <v>1.8</v>
      </c>
      <c r="J306" s="1">
        <v>-20.9</v>
      </c>
      <c r="K306" s="1">
        <v>-12.4</v>
      </c>
      <c r="L306" s="1">
        <v>19.2</v>
      </c>
      <c r="M306" s="1">
        <v>1</v>
      </c>
      <c r="N306" s="1">
        <v>16</v>
      </c>
      <c r="O306" s="1">
        <v>0.18</v>
      </c>
      <c r="Q306" s="118">
        <f t="shared" si="93"/>
        <v>0.51981074818900319</v>
      </c>
      <c r="R306" s="119">
        <f t="shared" si="94"/>
        <v>150.74511697481091</v>
      </c>
      <c r="S306" s="118">
        <f t="shared" si="95"/>
        <v>0.66795467023034072</v>
      </c>
      <c r="T306" s="118">
        <f t="shared" si="96"/>
        <v>17.344538733349331</v>
      </c>
      <c r="U306" s="118">
        <f t="shared" si="97"/>
        <v>-15.167163687431518</v>
      </c>
      <c r="V306" s="118">
        <f t="shared" si="98"/>
        <v>-19.381529984251294</v>
      </c>
      <c r="W306" s="118">
        <f t="shared" si="99"/>
        <v>-17.204154938333481</v>
      </c>
      <c r="X306" s="118">
        <f>IF(OR(N306="",R306=""),NA(),10*LOG10((G306+'CMOS FOM coeff. calculation'!$Q$3)^'CMOS FOM coeff. calculation'!$P$3*(1000*E306)^'CMOS FOM coeff. calculation'!$N$3*R306^'CMOS FOM coeff. calculation'!$O$3*N306^'CMOS FOM coeff. calculation'!$M$3))</f>
        <v>14.213220013964831</v>
      </c>
      <c r="Y306" s="68"/>
      <c r="Z306" s="103"/>
      <c r="AA306" s="3"/>
    </row>
    <row r="307" spans="1:27" ht="15" customHeight="1">
      <c r="A307" s="3"/>
      <c r="B307" s="8"/>
      <c r="D307" s="7"/>
      <c r="E307" s="1">
        <v>2.1999999999999999E-2</v>
      </c>
      <c r="F307" s="1">
        <v>4.5999999999999996</v>
      </c>
      <c r="G307" s="1">
        <v>10.8</v>
      </c>
      <c r="H307" s="1">
        <v>-10</v>
      </c>
      <c r="I307" s="1">
        <v>1.8</v>
      </c>
      <c r="J307" s="1">
        <v>-21.3</v>
      </c>
      <c r="K307" s="1">
        <v>-12</v>
      </c>
      <c r="L307" s="1">
        <v>21.3</v>
      </c>
      <c r="M307" s="1">
        <v>1</v>
      </c>
      <c r="N307" s="1">
        <v>16</v>
      </c>
      <c r="O307" s="1">
        <v>0.18</v>
      </c>
      <c r="Q307" s="118">
        <f t="shared" si="93"/>
        <v>0.51739676363318043</v>
      </c>
      <c r="R307" s="119">
        <f t="shared" si="94"/>
        <v>150.04506145362234</v>
      </c>
      <c r="S307" s="118">
        <f t="shared" si="95"/>
        <v>0.99258689758699081</v>
      </c>
      <c r="T307" s="118">
        <f t="shared" si="96"/>
        <v>16.363509572994143</v>
      </c>
      <c r="U307" s="118">
        <f t="shared" si="97"/>
        <v>-14.15431680072223</v>
      </c>
      <c r="V307" s="118">
        <f t="shared" si="98"/>
        <v>-18.307502509225706</v>
      </c>
      <c r="W307" s="118">
        <f t="shared" si="99"/>
        <v>-16.098309736953794</v>
      </c>
      <c r="X307" s="118">
        <f>IF(OR(N307="",R307=""),NA(),10*LOG10((G307+'CMOS FOM coeff. calculation'!$Q$3)^'CMOS FOM coeff. calculation'!$P$3*(1000*E307)^'CMOS FOM coeff. calculation'!$N$3*R307^'CMOS FOM coeff. calculation'!$O$3*N307^'CMOS FOM coeff. calculation'!$M$3))</f>
        <v>15.361523622278613</v>
      </c>
      <c r="Y307" s="68"/>
      <c r="Z307" s="103"/>
      <c r="AA307" s="3"/>
    </row>
    <row r="308" spans="1:27" ht="15" customHeight="1">
      <c r="A308" s="3"/>
      <c r="B308" s="8"/>
      <c r="D308" s="7"/>
      <c r="E308" s="1">
        <v>2.1999999999999999E-2</v>
      </c>
      <c r="F308" s="1">
        <v>6.5</v>
      </c>
      <c r="G308" s="1">
        <v>14.05</v>
      </c>
      <c r="H308" s="1">
        <v>-10</v>
      </c>
      <c r="I308" s="1">
        <v>2</v>
      </c>
      <c r="J308" s="1">
        <v>-17</v>
      </c>
      <c r="K308" s="1">
        <v>-8.5</v>
      </c>
      <c r="L308" s="1">
        <v>17</v>
      </c>
      <c r="M308" s="1">
        <v>1</v>
      </c>
      <c r="N308" s="1">
        <v>16</v>
      </c>
      <c r="O308" s="1">
        <v>0.18</v>
      </c>
      <c r="Q308" s="118">
        <f t="shared" si="93"/>
        <v>0.59680093664538025</v>
      </c>
      <c r="R308" s="119">
        <f t="shared" si="94"/>
        <v>173.07227162716026</v>
      </c>
      <c r="S308" s="118">
        <f t="shared" si="95"/>
        <v>0.98004737685031118</v>
      </c>
      <c r="T308" s="118">
        <f t="shared" si="96"/>
        <v>16.221883663607876</v>
      </c>
      <c r="U308" s="118">
        <f t="shared" si="97"/>
        <v>-13.512172474798358</v>
      </c>
      <c r="V308" s="118">
        <f t="shared" si="98"/>
        <v>-18.56512338734554</v>
      </c>
      <c r="W308" s="118">
        <f t="shared" si="99"/>
        <v>-15.855412198536023</v>
      </c>
      <c r="X308" s="118">
        <f>IF(OR(N308="",R308=""),NA(),10*LOG10((G308+'CMOS FOM coeff. calculation'!$Q$3)^'CMOS FOM coeff. calculation'!$P$3*(1000*E308)^'CMOS FOM coeff. calculation'!$N$3*R308^'CMOS FOM coeff. calculation'!$O$3*N308^'CMOS FOM coeff. calculation'!$M$3))</f>
        <v>15.865040397869752</v>
      </c>
      <c r="Y308" s="68"/>
      <c r="Z308" s="103"/>
      <c r="AA308" s="3"/>
    </row>
    <row r="309" spans="1:27" ht="15" customHeight="1">
      <c r="A309" s="3"/>
      <c r="B309" s="8"/>
      <c r="D309" s="7"/>
      <c r="E309" s="1">
        <v>2.1999999999999999E-2</v>
      </c>
      <c r="F309" s="1">
        <v>11.5</v>
      </c>
      <c r="G309" s="1">
        <v>11.65</v>
      </c>
      <c r="H309" s="1">
        <v>-10</v>
      </c>
      <c r="I309" s="1">
        <v>3.1</v>
      </c>
      <c r="J309" s="1">
        <v>-14.8</v>
      </c>
      <c r="K309" s="1">
        <v>-4.5</v>
      </c>
      <c r="L309" s="1">
        <v>13.7</v>
      </c>
      <c r="M309" s="1">
        <v>1</v>
      </c>
      <c r="N309" s="1">
        <v>16</v>
      </c>
      <c r="O309" s="1">
        <v>0.18</v>
      </c>
      <c r="Q309" s="118">
        <f t="shared" si="93"/>
        <v>1.0881564710496494</v>
      </c>
      <c r="R309" s="119">
        <f t="shared" si="94"/>
        <v>315.56537660439835</v>
      </c>
      <c r="S309" s="118">
        <f t="shared" si="95"/>
        <v>0.74313400448043265</v>
      </c>
      <c r="T309" s="118">
        <f t="shared" si="96"/>
        <v>19.372838186115445</v>
      </c>
      <c r="U309" s="118">
        <f t="shared" si="97"/>
        <v>-15.837178718270073</v>
      </c>
      <c r="V309" s="118">
        <f t="shared" si="98"/>
        <v>-21.845509701257797</v>
      </c>
      <c r="W309" s="118">
        <f t="shared" si="99"/>
        <v>-18.309850233412426</v>
      </c>
      <c r="X309" s="118">
        <f>IF(OR(N309="",R309=""),NA(),10*LOG10((G309+'CMOS FOM coeff. calculation'!$Q$3)^'CMOS FOM coeff. calculation'!$P$3*(1000*E309)^'CMOS FOM coeff. calculation'!$N$3*R309^'CMOS FOM coeff. calculation'!$O$3*N309^'CMOS FOM coeff. calculation'!$M$3))</f>
        <v>12.746125626377383</v>
      </c>
      <c r="Y309" s="68"/>
      <c r="Z309" s="103"/>
      <c r="AA309" s="3"/>
    </row>
    <row r="310" spans="1:27" ht="15" customHeight="1">
      <c r="A310" s="3"/>
      <c r="B310" s="8"/>
      <c r="D310" s="7"/>
      <c r="E310" s="1">
        <v>2.1999999999999999E-2</v>
      </c>
      <c r="F310" s="1">
        <v>11.9</v>
      </c>
      <c r="G310" s="1">
        <v>11.05</v>
      </c>
      <c r="H310" s="1">
        <v>-10</v>
      </c>
      <c r="I310" s="1">
        <v>2.7</v>
      </c>
      <c r="J310" s="1">
        <v>-15.3</v>
      </c>
      <c r="K310" s="1">
        <v>-6</v>
      </c>
      <c r="L310" s="1">
        <v>17.2</v>
      </c>
      <c r="M310" s="1">
        <v>1</v>
      </c>
      <c r="N310" s="1">
        <v>20</v>
      </c>
      <c r="O310" s="1">
        <v>0.18</v>
      </c>
      <c r="Q310" s="118">
        <f t="shared" si="93"/>
        <v>0.8788329533657685</v>
      </c>
      <c r="R310" s="119">
        <f t="shared" si="94"/>
        <v>254.86155647607288</v>
      </c>
      <c r="S310" s="118">
        <f t="shared" si="95"/>
        <v>1.5193045266458176</v>
      </c>
      <c r="T310" s="118">
        <f t="shared" si="96"/>
        <v>18.921112386228963</v>
      </c>
      <c r="U310" s="118">
        <f t="shared" si="97"/>
        <v>-15.33595584825386</v>
      </c>
      <c r="V310" s="118">
        <f t="shared" si="98"/>
        <v>-20.605012795297334</v>
      </c>
      <c r="W310" s="118">
        <f t="shared" si="99"/>
        <v>-17.019856257322232</v>
      </c>
      <c r="X310" s="118">
        <f>IF(OR(N310="",R310=""),NA(),10*LOG10((G310+'CMOS FOM coeff. calculation'!$Q$3)^'CMOS FOM coeff. calculation'!$P$3*(1000*E310)^'CMOS FOM coeff. calculation'!$N$3*R310^'CMOS FOM coeff. calculation'!$O$3*N310^'CMOS FOM coeff. calculation'!$M$3))</f>
        <v>13.183387443823104</v>
      </c>
      <c r="Y310" s="68"/>
      <c r="Z310" s="103"/>
      <c r="AA310" s="3"/>
    </row>
    <row r="311" spans="1:27" ht="15" customHeight="1">
      <c r="A311" s="3"/>
      <c r="B311" s="8"/>
      <c r="D311" s="7"/>
      <c r="E311" s="1">
        <v>2.1999999999999999E-2</v>
      </c>
      <c r="F311" s="1">
        <v>11.6</v>
      </c>
      <c r="G311" s="1">
        <v>11</v>
      </c>
      <c r="H311" s="1">
        <v>-10</v>
      </c>
      <c r="I311" s="1">
        <v>2.9</v>
      </c>
      <c r="J311" s="1">
        <v>-16.5</v>
      </c>
      <c r="K311" s="1">
        <v>-7.7</v>
      </c>
      <c r="L311" s="1">
        <v>16.5</v>
      </c>
      <c r="M311" s="1">
        <v>1</v>
      </c>
      <c r="N311" s="1">
        <v>16</v>
      </c>
      <c r="O311" s="1">
        <v>0.18</v>
      </c>
      <c r="Q311" s="118">
        <f t="shared" si="93"/>
        <v>0.97159592306926512</v>
      </c>
      <c r="R311" s="119">
        <f t="shared" si="94"/>
        <v>281.76281769008688</v>
      </c>
      <c r="S311" s="118">
        <f t="shared" si="95"/>
        <v>0.97761278861431655</v>
      </c>
      <c r="T311" s="118">
        <f t="shared" si="96"/>
        <v>19.047003134697551</v>
      </c>
      <c r="U311" s="118">
        <f t="shared" si="97"/>
        <v>-15.498809837274489</v>
      </c>
      <c r="V311" s="118">
        <f t="shared" si="98"/>
        <v>-21.0395647163296</v>
      </c>
      <c r="W311" s="118">
        <f t="shared" si="99"/>
        <v>-17.491371418906539</v>
      </c>
      <c r="X311" s="118">
        <f>IF(OR(N311="",R311=""),NA(),10*LOG10((G311+'CMOS FOM coeff. calculation'!$Q$3)^'CMOS FOM coeff. calculation'!$P$3*(1000*E311)^'CMOS FOM coeff. calculation'!$N$3*R311^'CMOS FOM coeff. calculation'!$O$3*N311^'CMOS FOM coeff. calculation'!$M$3))</f>
        <v>12.967776480908022</v>
      </c>
      <c r="Y311" s="68"/>
      <c r="Z311" s="103"/>
      <c r="AA311" s="3"/>
    </row>
    <row r="312" spans="1:27" ht="15" customHeight="1">
      <c r="A312" s="3" t="s">
        <v>3840</v>
      </c>
      <c r="B312" s="8" t="s">
        <v>3859</v>
      </c>
      <c r="C312" t="s">
        <v>3860</v>
      </c>
      <c r="D312" s="7" t="s">
        <v>3861</v>
      </c>
      <c r="E312" s="1">
        <v>4.4999999999999998E-2</v>
      </c>
      <c r="F312" s="1">
        <v>21</v>
      </c>
      <c r="G312" s="1">
        <v>134.5</v>
      </c>
      <c r="H312" s="1">
        <v>-10</v>
      </c>
      <c r="I312" s="1">
        <v>7</v>
      </c>
      <c r="J312" s="1">
        <v>-19.7</v>
      </c>
      <c r="K312" s="1">
        <v>-16.600000000000001</v>
      </c>
      <c r="L312" s="1">
        <v>14</v>
      </c>
      <c r="M312" s="1">
        <v>1.5</v>
      </c>
      <c r="N312" s="1">
        <v>28.5</v>
      </c>
      <c r="O312" s="1">
        <v>0.28000000000000003</v>
      </c>
      <c r="Q312" s="118">
        <f t="shared" si="93"/>
        <v>4.1782098670892847</v>
      </c>
      <c r="R312" s="119">
        <f t="shared" si="94"/>
        <v>1211.6808614558925</v>
      </c>
      <c r="S312" s="118">
        <f t="shared" si="95"/>
        <v>0.25843828734031526</v>
      </c>
      <c r="T312" s="118">
        <f t="shared" si="96"/>
        <v>14.825069957575273</v>
      </c>
      <c r="U312" s="118">
        <f t="shared" si="97"/>
        <v>-10.417672308462208</v>
      </c>
      <c r="V312" s="118">
        <f t="shared" si="98"/>
        <v>-24.23981263689501</v>
      </c>
      <c r="W312" s="118">
        <f t="shared" si="99"/>
        <v>-19.832414987781945</v>
      </c>
      <c r="X312" s="118">
        <f>IF(OR(N312="",R312=""),NA(),10*LOG10((G312+'CMOS FOM coeff. calculation'!$Q$3)^'CMOS FOM coeff. calculation'!$P$3*(1000*E312)^'CMOS FOM coeff. calculation'!$N$3*R312^'CMOS FOM coeff. calculation'!$O$3*N312^'CMOS FOM coeff. calculation'!$M$3))</f>
        <v>24.358523012631959</v>
      </c>
      <c r="Y312" s="68"/>
      <c r="Z312" s="103" t="s">
        <v>3858</v>
      </c>
      <c r="AA312" s="3"/>
    </row>
    <row r="313" spans="1:27" ht="15" customHeight="1">
      <c r="A313" s="3"/>
      <c r="B313" s="8"/>
      <c r="D313" s="7"/>
      <c r="E313" s="1">
        <v>4.4999999999999998E-2</v>
      </c>
      <c r="F313" s="1">
        <v>20</v>
      </c>
      <c r="G313" s="1">
        <v>113</v>
      </c>
      <c r="H313" s="1">
        <v>-10</v>
      </c>
      <c r="I313" s="1">
        <v>6.3</v>
      </c>
      <c r="J313" s="1">
        <v>-17.3</v>
      </c>
      <c r="K313" s="1">
        <v>-11.1</v>
      </c>
      <c r="L313" s="1">
        <v>9</v>
      </c>
      <c r="M313" s="1">
        <v>1.5</v>
      </c>
      <c r="N313" s="1">
        <v>25.5</v>
      </c>
      <c r="O313" s="1">
        <v>0.13</v>
      </c>
      <c r="Q313" s="118">
        <f t="shared" si="93"/>
        <v>3.7361484049368516</v>
      </c>
      <c r="R313" s="119">
        <f t="shared" si="94"/>
        <v>1083.4830374316871</v>
      </c>
      <c r="S313" s="118">
        <f t="shared" si="95"/>
        <v>0.12928996745019208</v>
      </c>
      <c r="T313" s="118">
        <f t="shared" si="96"/>
        <v>14.682685314614901</v>
      </c>
      <c r="U313" s="118">
        <f t="shared" si="97"/>
        <v>-10.34591866240163</v>
      </c>
      <c r="V313" s="118">
        <f t="shared" si="98"/>
        <v>-24.686906353199561</v>
      </c>
      <c r="W313" s="118">
        <f t="shared" si="99"/>
        <v>-20.35013970098629</v>
      </c>
      <c r="X313" s="118">
        <f>IF(OR(N313="",R313=""),NA(),10*LOG10((G313+'CMOS FOM coeff. calculation'!$Q$3)^'CMOS FOM coeff. calculation'!$P$3*(1000*E313)^'CMOS FOM coeff. calculation'!$N$3*R313^'CMOS FOM coeff. calculation'!$O$3*N313^'CMOS FOM coeff. calculation'!$M$3))</f>
        <v>23.535750412660601</v>
      </c>
      <c r="Y313" s="68"/>
      <c r="Z313" s="66"/>
      <c r="AA313" s="3"/>
    </row>
    <row r="314" spans="1:27" ht="15" customHeight="1">
      <c r="B314" s="8"/>
      <c r="D314" s="7"/>
      <c r="Q314" s="118" t="str">
        <f t="shared" si="93"/>
        <v/>
      </c>
      <c r="R314" s="119" t="str">
        <f t="shared" si="94"/>
        <v/>
      </c>
      <c r="S314" s="118" t="str">
        <f t="shared" si="95"/>
        <v/>
      </c>
      <c r="T314" s="118" t="e">
        <f t="shared" si="96"/>
        <v>#N/A</v>
      </c>
      <c r="U314" s="118" t="e">
        <f t="shared" si="97"/>
        <v>#N/A</v>
      </c>
      <c r="V314" s="118" t="e">
        <f t="shared" si="98"/>
        <v>#N/A</v>
      </c>
      <c r="W314" s="118" t="e">
        <f t="shared" si="99"/>
        <v>#N/A</v>
      </c>
      <c r="X314" s="118" t="e">
        <f>IF(OR(N314="",R314=""),NA(),10*LOG10((G314+'CMOS FOM coeff. calculation'!$Q$3)^'CMOS FOM coeff. calculation'!$P$3*(1000*E314)^'CMOS FOM coeff. calculation'!$N$3*R314^'CMOS FOM coeff. calculation'!$O$3*N314^'CMOS FOM coeff. calculation'!$M$3))</f>
        <v>#N/A</v>
      </c>
      <c r="Y314" s="68"/>
      <c r="Z314" s="66"/>
      <c r="AA314" s="3"/>
    </row>
    <row r="315" spans="1:27" ht="15" customHeight="1">
      <c r="B315" s="8"/>
      <c r="D315" s="7"/>
      <c r="Q315" s="118" t="str">
        <f t="shared" si="93"/>
        <v/>
      </c>
      <c r="R315" s="119" t="str">
        <f t="shared" si="94"/>
        <v/>
      </c>
      <c r="S315" s="118" t="str">
        <f t="shared" si="95"/>
        <v/>
      </c>
      <c r="T315" s="118" t="e">
        <f t="shared" si="96"/>
        <v>#N/A</v>
      </c>
      <c r="U315" s="118" t="e">
        <f t="shared" si="97"/>
        <v>#N/A</v>
      </c>
      <c r="V315" s="118" t="e">
        <f t="shared" si="98"/>
        <v>#N/A</v>
      </c>
      <c r="W315" s="118" t="e">
        <f t="shared" si="99"/>
        <v>#N/A</v>
      </c>
      <c r="X315" s="118" t="e">
        <f>IF(OR(N315="",R315=""),NA(),10*LOG10((G315+'CMOS FOM coeff. calculation'!$Q$3)^'CMOS FOM coeff. calculation'!$P$3*(1000*E315)^'CMOS FOM coeff. calculation'!$N$3*R315^'CMOS FOM coeff. calculation'!$O$3*N315^'CMOS FOM coeff. calculation'!$M$3))</f>
        <v>#N/A</v>
      </c>
      <c r="Y315" s="68"/>
      <c r="Z315" s="66"/>
      <c r="AA315" s="3"/>
    </row>
    <row r="316" spans="1:27">
      <c r="A316" s="53" t="s">
        <v>735</v>
      </c>
      <c r="B316" s="53"/>
      <c r="C316" s="53"/>
      <c r="D316" s="53"/>
      <c r="E316" s="94"/>
      <c r="F316" s="94"/>
      <c r="G316" s="94"/>
      <c r="H316" s="94"/>
      <c r="I316" s="94"/>
      <c r="J316" s="94"/>
      <c r="K316" s="94"/>
      <c r="L316" s="94"/>
      <c r="M316" s="94"/>
      <c r="N316" s="94"/>
      <c r="O316" s="94"/>
      <c r="P316" s="94"/>
      <c r="Q316" s="121"/>
      <c r="R316" s="121"/>
      <c r="S316" s="121"/>
      <c r="T316" s="121"/>
      <c r="U316" s="121"/>
      <c r="V316" s="121"/>
      <c r="W316" s="121"/>
      <c r="X316" s="121"/>
      <c r="Y316" s="53"/>
      <c r="Z316" s="53"/>
    </row>
    <row r="317" spans="1:27">
      <c r="A317" t="s">
        <v>1993</v>
      </c>
      <c r="B317" s="8" t="s">
        <v>1994</v>
      </c>
      <c r="C317" t="s">
        <v>1995</v>
      </c>
      <c r="D317" s="7" t="s">
        <v>1996</v>
      </c>
      <c r="E317" s="1">
        <v>0.35</v>
      </c>
      <c r="G317" s="1">
        <v>0.9</v>
      </c>
      <c r="H317" s="1">
        <v>-6.2</v>
      </c>
      <c r="I317" s="1">
        <v>1.65</v>
      </c>
      <c r="J317" s="1">
        <v>-9</v>
      </c>
      <c r="K317" s="1">
        <v>1</v>
      </c>
      <c r="L317" s="1">
        <v>10.199999999999999</v>
      </c>
      <c r="Q317" s="118">
        <f t="shared" ref="Q317:Q351" si="100">IF(OR(I317="",L317=""),"",(10^(I317/10)-1)*10^(L317/10)/(10^(L317/10)-1))</f>
        <v>0.51097489842014798</v>
      </c>
      <c r="R317" s="119">
        <f t="shared" ref="R317:R351" si="101">IF(Q317="","",290*Q317)</f>
        <v>148.18272054184291</v>
      </c>
      <c r="S317" s="118">
        <f t="shared" ref="S317:S351" si="102">IF(OR(J317="",L317=""),"",10^(J317/10)*(10^(L317/10)-1))</f>
        <v>1.1923641973769905</v>
      </c>
      <c r="T317" s="118" t="e">
        <f t="shared" ref="T317:T351" si="103">IF(OR(Q317="",N317="",E317="",G317=""),NA(),10*LOG10(Q317*N317^(1/3)*E317^(-4/3)*G317^(-2/3)))</f>
        <v>#N/A</v>
      </c>
      <c r="U317" s="118" t="e">
        <f t="shared" ref="U317:U351" si="104">IF(OR(ISNA(T317),F317=""),NA(),10*LOG10(F317^(1/3))-T317)</f>
        <v>#N/A</v>
      </c>
      <c r="V317" s="118" t="e">
        <f t="shared" ref="V317:V351" si="105">IF(OR(ISNA(T317),S317=""),NA(),10*LOG10(S317^(1/3)*E317*G317^(1/3)/Q317/N317^(2/3)))</f>
        <v>#N/A</v>
      </c>
      <c r="W317" s="118" t="e">
        <f t="shared" ref="W317:W351" si="106">IF(OR(ISNA(V317),F317=""),NA(),V317+10*LOG10(F317^(1/3)))</f>
        <v>#N/A</v>
      </c>
      <c r="X317" s="118" t="e">
        <f>IF(OR(N317="",R317=""),NA(),10*LOG10((G317+'CMOS FOM coeff. calculation'!$Q$3)^'CMOS FOM coeff. calculation'!$P$3*(1000*E317)^'CMOS FOM coeff. calculation'!$N$3*R317^'CMOS FOM coeff. calculation'!$O$3*N317^'CMOS FOM coeff. calculation'!$M$3))</f>
        <v>#N/A</v>
      </c>
      <c r="Y317" s="68"/>
      <c r="Z317" t="s">
        <v>1997</v>
      </c>
      <c r="AA317" s="3" t="s">
        <v>598</v>
      </c>
    </row>
    <row r="318" spans="1:27">
      <c r="E318" s="1">
        <v>0.35</v>
      </c>
      <c r="G318" s="1">
        <v>0.9</v>
      </c>
      <c r="H318" s="1">
        <v>-11.3</v>
      </c>
      <c r="I318" s="1">
        <v>1.85</v>
      </c>
      <c r="J318" s="1">
        <v>-4</v>
      </c>
      <c r="K318" s="1">
        <v>7.2</v>
      </c>
      <c r="L318" s="1">
        <v>8.1999999999999993</v>
      </c>
      <c r="Q318" s="118">
        <f t="shared" si="100"/>
        <v>0.62580721693674757</v>
      </c>
      <c r="R318" s="119">
        <f t="shared" si="101"/>
        <v>181.4840929116568</v>
      </c>
      <c r="S318" s="118">
        <f t="shared" si="102"/>
        <v>2.2321608213418846</v>
      </c>
      <c r="T318" s="118" t="e">
        <f t="shared" si="103"/>
        <v>#N/A</v>
      </c>
      <c r="U318" s="118" t="e">
        <f t="shared" si="104"/>
        <v>#N/A</v>
      </c>
      <c r="V318" s="118" t="e">
        <f t="shared" si="105"/>
        <v>#N/A</v>
      </c>
      <c r="W318" s="118" t="e">
        <f t="shared" si="106"/>
        <v>#N/A</v>
      </c>
      <c r="X318" s="118" t="e">
        <f>IF(OR(N318="",R318=""),NA(),10*LOG10((G318+'CMOS FOM coeff. calculation'!$Q$3)^'CMOS FOM coeff. calculation'!$P$3*(1000*E318)^'CMOS FOM coeff. calculation'!$N$3*R318^'CMOS FOM coeff. calculation'!$O$3*N318^'CMOS FOM coeff. calculation'!$M$3))</f>
        <v>#N/A</v>
      </c>
      <c r="Y318" s="68"/>
    </row>
    <row r="319" spans="1:27">
      <c r="E319" s="1">
        <v>0.35</v>
      </c>
      <c r="G319" s="1">
        <v>0.9</v>
      </c>
      <c r="H319" s="1">
        <v>-9.5</v>
      </c>
      <c r="I319" s="1">
        <v>1.75</v>
      </c>
      <c r="J319" s="1">
        <v>-7</v>
      </c>
      <c r="K319" s="1">
        <v>3</v>
      </c>
      <c r="L319" s="1">
        <v>10</v>
      </c>
      <c r="Q319" s="118">
        <f t="shared" si="100"/>
        <v>0.55137295121603713</v>
      </c>
      <c r="R319" s="119">
        <f t="shared" si="101"/>
        <v>159.89815585265077</v>
      </c>
      <c r="S319" s="118">
        <f t="shared" si="102"/>
        <v>1.7957360834719915</v>
      </c>
      <c r="T319" s="118" t="e">
        <f t="shared" si="103"/>
        <v>#N/A</v>
      </c>
      <c r="U319" s="118" t="e">
        <f t="shared" si="104"/>
        <v>#N/A</v>
      </c>
      <c r="V319" s="118" t="e">
        <f t="shared" si="105"/>
        <v>#N/A</v>
      </c>
      <c r="W319" s="118" t="e">
        <f t="shared" si="106"/>
        <v>#N/A</v>
      </c>
      <c r="X319" s="118" t="e">
        <f>IF(OR(N319="",R319=""),NA(),10*LOG10((G319+'CMOS FOM coeff. calculation'!$Q$3)^'CMOS FOM coeff. calculation'!$P$3*(1000*E319)^'CMOS FOM coeff. calculation'!$N$3*R319^'CMOS FOM coeff. calculation'!$O$3*N319^'CMOS FOM coeff. calculation'!$M$3))</f>
        <v>#N/A</v>
      </c>
      <c r="Y319" s="68"/>
    </row>
    <row r="320" spans="1:27">
      <c r="A320" t="s">
        <v>1993</v>
      </c>
      <c r="B320" t="s">
        <v>1998</v>
      </c>
      <c r="C320" t="s">
        <v>1999</v>
      </c>
      <c r="D320" s="7" t="s">
        <v>2000</v>
      </c>
      <c r="E320" s="1">
        <v>0.2</v>
      </c>
      <c r="F320" s="1">
        <v>1.5</v>
      </c>
      <c r="G320" s="1">
        <v>1.75</v>
      </c>
      <c r="I320" s="1">
        <v>3.5</v>
      </c>
      <c r="J320" s="1">
        <v>-4</v>
      </c>
      <c r="L320" s="1">
        <v>10</v>
      </c>
      <c r="M320" s="1">
        <v>1</v>
      </c>
      <c r="N320" s="1">
        <v>10</v>
      </c>
      <c r="Q320" s="118">
        <f t="shared" si="100"/>
        <v>1.3763568206314882</v>
      </c>
      <c r="R320" s="119">
        <f t="shared" si="101"/>
        <v>399.14347798313156</v>
      </c>
      <c r="S320" s="118">
        <f t="shared" si="102"/>
        <v>3.5829645349814747</v>
      </c>
      <c r="T320" s="118">
        <f t="shared" si="103"/>
        <v>12.419990127045518</v>
      </c>
      <c r="U320" s="118">
        <f t="shared" si="104"/>
        <v>-11.83301926352658</v>
      </c>
      <c r="V320" s="118">
        <f t="shared" si="105"/>
        <v>-12.386075243415355</v>
      </c>
      <c r="W320" s="118">
        <f t="shared" si="106"/>
        <v>-11.799104379896418</v>
      </c>
      <c r="X320" s="118">
        <f>IF(OR(N320="",R320=""),NA(),10*LOG10((G320+'CMOS FOM coeff. calculation'!$Q$3)^'CMOS FOM coeff. calculation'!$P$3*(1000*E320)^'CMOS FOM coeff. calculation'!$N$3*R320^'CMOS FOM coeff. calculation'!$O$3*N320^'CMOS FOM coeff. calculation'!$M$3))</f>
        <v>14.752262381994752</v>
      </c>
      <c r="Y320" s="68"/>
      <c r="Z320" t="s">
        <v>2001</v>
      </c>
      <c r="AA320" s="3" t="s">
        <v>2077</v>
      </c>
    </row>
    <row r="321" spans="1:27">
      <c r="D321" s="7"/>
      <c r="E321" s="1">
        <v>0.2</v>
      </c>
      <c r="F321" s="1">
        <v>1.5</v>
      </c>
      <c r="G321" s="1">
        <v>1.85</v>
      </c>
      <c r="I321" s="1">
        <v>3.9</v>
      </c>
      <c r="J321" s="1">
        <v>-9</v>
      </c>
      <c r="L321" s="1">
        <v>8</v>
      </c>
      <c r="M321" s="1">
        <v>0.5</v>
      </c>
      <c r="N321" s="1">
        <v>2</v>
      </c>
      <c r="Q321" s="118">
        <f t="shared" si="100"/>
        <v>1.7286874058232897</v>
      </c>
      <c r="R321" s="119">
        <f t="shared" si="101"/>
        <v>501.31934768875402</v>
      </c>
      <c r="S321" s="118">
        <f t="shared" si="102"/>
        <v>0.66843569354486476</v>
      </c>
      <c r="T321" s="118">
        <f t="shared" si="103"/>
        <v>10.919053200667356</v>
      </c>
      <c r="U321" s="118">
        <f t="shared" si="104"/>
        <v>-10.332082337148419</v>
      </c>
      <c r="V321" s="118">
        <f t="shared" si="105"/>
        <v>-11.06629349121266</v>
      </c>
      <c r="W321" s="118">
        <f t="shared" si="106"/>
        <v>-10.479322627693723</v>
      </c>
      <c r="X321" s="118">
        <f>IF(OR(N321="",R321=""),NA(),10*LOG10((G321+'CMOS FOM coeff. calculation'!$Q$3)^'CMOS FOM coeff. calculation'!$P$3*(1000*E321)^'CMOS FOM coeff. calculation'!$N$3*R321^'CMOS FOM coeff. calculation'!$O$3*N321^'CMOS FOM coeff. calculation'!$M$3))</f>
        <v>15.313620520052583</v>
      </c>
      <c r="Y321" s="68"/>
      <c r="Z321" s="4"/>
      <c r="AA321" s="3"/>
    </row>
    <row r="322" spans="1:27">
      <c r="A322" t="s">
        <v>2002</v>
      </c>
      <c r="B322" s="8" t="s">
        <v>2003</v>
      </c>
      <c r="C322" t="s">
        <v>2004</v>
      </c>
      <c r="D322" s="7" t="s">
        <v>2005</v>
      </c>
      <c r="E322" s="1">
        <v>0.35</v>
      </c>
      <c r="G322" s="1">
        <v>0.9</v>
      </c>
      <c r="I322" s="1">
        <v>2.6</v>
      </c>
      <c r="K322" s="1">
        <v>5</v>
      </c>
      <c r="L322" s="1">
        <v>18</v>
      </c>
      <c r="M322" s="1">
        <v>3</v>
      </c>
      <c r="N322" s="1">
        <v>22.5</v>
      </c>
      <c r="Q322" s="118">
        <f t="shared" si="100"/>
        <v>0.83290145710352692</v>
      </c>
      <c r="R322" s="119">
        <f t="shared" si="101"/>
        <v>241.5414225600228</v>
      </c>
      <c r="S322" s="118" t="str">
        <f t="shared" si="102"/>
        <v/>
      </c>
      <c r="T322" s="118">
        <f t="shared" si="103"/>
        <v>10.097353957975198</v>
      </c>
      <c r="U322" s="118" t="e">
        <f t="shared" si="104"/>
        <v>#N/A</v>
      </c>
      <c r="V322" s="118" t="e">
        <f t="shared" si="105"/>
        <v>#N/A</v>
      </c>
      <c r="W322" s="118" t="e">
        <f t="shared" si="106"/>
        <v>#N/A</v>
      </c>
      <c r="X322" s="118">
        <f>IF(OR(N322="",R322=""),NA(),10*LOG10((G322+'CMOS FOM coeff. calculation'!$Q$3)^'CMOS FOM coeff. calculation'!$P$3*(1000*E322)^'CMOS FOM coeff. calculation'!$N$3*R322^'CMOS FOM coeff. calculation'!$O$3*N322^'CMOS FOM coeff. calculation'!$M$3))</f>
        <v>17.236725642319136</v>
      </c>
      <c r="Y322" s="68"/>
      <c r="Z322" t="s">
        <v>2006</v>
      </c>
      <c r="AA322" s="3" t="s">
        <v>445</v>
      </c>
    </row>
    <row r="323" spans="1:27">
      <c r="E323" s="1">
        <v>0.35</v>
      </c>
      <c r="G323" s="1">
        <v>0.9</v>
      </c>
      <c r="I323" s="1">
        <v>2.8</v>
      </c>
      <c r="K323" s="1">
        <v>18</v>
      </c>
      <c r="L323" s="1">
        <v>15.5</v>
      </c>
      <c r="M323" s="1">
        <v>3</v>
      </c>
      <c r="N323" s="1">
        <v>45</v>
      </c>
      <c r="Q323" s="118">
        <f t="shared" si="100"/>
        <v>0.93172015991751234</v>
      </c>
      <c r="R323" s="119">
        <f t="shared" si="101"/>
        <v>270.19884637607856</v>
      </c>
      <c r="S323" s="118" t="str">
        <f t="shared" si="102"/>
        <v/>
      </c>
      <c r="T323" s="118">
        <f t="shared" si="103"/>
        <v>11.587705983865996</v>
      </c>
      <c r="U323" s="118" t="e">
        <f t="shared" si="104"/>
        <v>#N/A</v>
      </c>
      <c r="V323" s="118" t="e">
        <f t="shared" si="105"/>
        <v>#N/A</v>
      </c>
      <c r="W323" s="118" t="e">
        <f t="shared" si="106"/>
        <v>#N/A</v>
      </c>
      <c r="X323" s="118">
        <f>IF(OR(N323="",R323=""),NA(),10*LOG10((G323+'CMOS FOM coeff. calculation'!$Q$3)^'CMOS FOM coeff. calculation'!$P$3*(1000*E323)^'CMOS FOM coeff. calculation'!$N$3*R323^'CMOS FOM coeff. calculation'!$O$3*N323^'CMOS FOM coeff. calculation'!$M$3))</f>
        <v>16.1964388146814</v>
      </c>
      <c r="Y323" s="68"/>
    </row>
    <row r="324" spans="1:27">
      <c r="A324" t="s">
        <v>740</v>
      </c>
      <c r="B324" s="8" t="s">
        <v>2007</v>
      </c>
      <c r="C324" t="s">
        <v>2008</v>
      </c>
      <c r="D324" s="7" t="s">
        <v>2009</v>
      </c>
      <c r="E324" s="1">
        <v>0.25</v>
      </c>
      <c r="G324" s="1">
        <v>1.57</v>
      </c>
      <c r="H324" s="1">
        <v>-12</v>
      </c>
      <c r="I324" s="1">
        <v>1.5</v>
      </c>
      <c r="K324" s="1">
        <v>6</v>
      </c>
      <c r="L324" s="1">
        <v>15.5</v>
      </c>
      <c r="M324" s="1">
        <v>2</v>
      </c>
      <c r="N324" s="1">
        <v>8</v>
      </c>
      <c r="Q324" s="118">
        <f t="shared" si="100"/>
        <v>0.42450162599267194</v>
      </c>
      <c r="R324" s="119">
        <f t="shared" si="101"/>
        <v>123.10547153787486</v>
      </c>
      <c r="S324" s="118" t="str">
        <f t="shared" si="102"/>
        <v/>
      </c>
      <c r="T324" s="118">
        <f t="shared" si="103"/>
        <v>6.0105624058106955</v>
      </c>
      <c r="U324" s="118" t="e">
        <f t="shared" si="104"/>
        <v>#N/A</v>
      </c>
      <c r="V324" s="118" t="e">
        <f t="shared" si="105"/>
        <v>#N/A</v>
      </c>
      <c r="W324" s="118" t="e">
        <f t="shared" si="106"/>
        <v>#N/A</v>
      </c>
      <c r="X324" s="118">
        <f>IF(OR(N324="",R324=""),NA(),10*LOG10((G324+'CMOS FOM coeff. calculation'!$Q$3)^'CMOS FOM coeff. calculation'!$P$3*(1000*E324)^'CMOS FOM coeff. calculation'!$N$3*R324^'CMOS FOM coeff. calculation'!$O$3*N324^'CMOS FOM coeff. calculation'!$M$3))</f>
        <v>20.123537749434174</v>
      </c>
      <c r="Y324" s="68"/>
      <c r="Z324" t="s">
        <v>2010</v>
      </c>
      <c r="AA324" s="3" t="s">
        <v>5</v>
      </c>
    </row>
    <row r="325" spans="1:27">
      <c r="A325" t="s">
        <v>745</v>
      </c>
      <c r="B325" s="8" t="s">
        <v>2011</v>
      </c>
      <c r="C325" t="s">
        <v>2012</v>
      </c>
      <c r="D325" s="39" t="s">
        <v>2013</v>
      </c>
      <c r="E325" s="1">
        <v>0.25</v>
      </c>
      <c r="F325" s="1">
        <v>0.4</v>
      </c>
      <c r="G325" s="1">
        <v>2.2000000000000002</v>
      </c>
      <c r="I325" s="1">
        <v>2.8</v>
      </c>
      <c r="K325" s="1">
        <v>14.7</v>
      </c>
      <c r="L325" s="1">
        <v>15.2</v>
      </c>
      <c r="M325" s="1">
        <v>2.5</v>
      </c>
      <c r="N325" s="1">
        <v>23.5</v>
      </c>
      <c r="P325" s="1">
        <v>0.81</v>
      </c>
      <c r="Q325" s="118">
        <f t="shared" si="100"/>
        <v>0.93365669952314512</v>
      </c>
      <c r="R325" s="119">
        <f t="shared" si="101"/>
        <v>270.76044286171208</v>
      </c>
      <c r="S325" s="118" t="str">
        <f t="shared" si="102"/>
        <v/>
      </c>
      <c r="T325" s="118">
        <f t="shared" si="103"/>
        <v>10.016747065148056</v>
      </c>
      <c r="U325" s="118">
        <f t="shared" si="104"/>
        <v>-11.343213760721515</v>
      </c>
      <c r="V325" s="118" t="e">
        <f t="shared" si="105"/>
        <v>#N/A</v>
      </c>
      <c r="W325" s="118" t="e">
        <f t="shared" si="106"/>
        <v>#N/A</v>
      </c>
      <c r="X325" s="118">
        <f>IF(OR(N325="",R325=""),NA(),10*LOG10((G325+'CMOS FOM coeff. calculation'!$Q$3)^'CMOS FOM coeff. calculation'!$P$3*(1000*E325)^'CMOS FOM coeff. calculation'!$N$3*R325^'CMOS FOM coeff. calculation'!$O$3*N325^'CMOS FOM coeff. calculation'!$M$3))</f>
        <v>16.447054355208405</v>
      </c>
      <c r="Y325" s="68"/>
      <c r="Z325" t="s">
        <v>2014</v>
      </c>
      <c r="AA325" s="3" t="s">
        <v>5</v>
      </c>
    </row>
    <row r="326" spans="1:27">
      <c r="A326" t="s">
        <v>20</v>
      </c>
      <c r="B326" s="8" t="s">
        <v>751</v>
      </c>
      <c r="C326" t="s">
        <v>753</v>
      </c>
      <c r="D326" s="7" t="s">
        <v>752</v>
      </c>
      <c r="E326" s="1">
        <v>0.18</v>
      </c>
      <c r="F326" s="1">
        <v>6.9</v>
      </c>
      <c r="G326" s="1">
        <v>5.75</v>
      </c>
      <c r="H326" s="1">
        <v>-8</v>
      </c>
      <c r="I326" s="1">
        <v>4</v>
      </c>
      <c r="J326" s="1">
        <v>-15</v>
      </c>
      <c r="K326" s="1">
        <v>-6.7</v>
      </c>
      <c r="L326" s="1">
        <v>9.3000000000000007</v>
      </c>
      <c r="M326" s="1">
        <v>1.8</v>
      </c>
      <c r="N326" s="1">
        <v>9</v>
      </c>
      <c r="P326" s="1">
        <v>1.1000000000000001</v>
      </c>
      <c r="Q326" s="118">
        <f t="shared" si="100"/>
        <v>1.713165870789187</v>
      </c>
      <c r="R326" s="119">
        <f t="shared" si="101"/>
        <v>496.81810252886424</v>
      </c>
      <c r="S326" s="118">
        <f t="shared" si="102"/>
        <v>0.23753070379100782</v>
      </c>
      <c r="T326" s="118">
        <f t="shared" si="103"/>
        <v>10.384050137999193</v>
      </c>
      <c r="U326" s="118">
        <f t="shared" si="104"/>
        <v>-7.5878865022083417</v>
      </c>
      <c r="V326" s="118">
        <f t="shared" si="105"/>
        <v>-15.695593816971892</v>
      </c>
      <c r="W326" s="118">
        <f t="shared" si="106"/>
        <v>-12.899430181181041</v>
      </c>
      <c r="X326" s="118">
        <f>IF(OR(N326="",R326=""),NA(),10*LOG10((G326+'CMOS FOM coeff. calculation'!$Q$3)^'CMOS FOM coeff. calculation'!$P$3*(1000*E326)^'CMOS FOM coeff. calculation'!$N$3*R326^'CMOS FOM coeff. calculation'!$O$3*N326^'CMOS FOM coeff. calculation'!$M$3))</f>
        <v>15.61150381095047</v>
      </c>
      <c r="Y326" s="68"/>
      <c r="Z326" t="s">
        <v>754</v>
      </c>
      <c r="AA326" s="3" t="s">
        <v>445</v>
      </c>
    </row>
    <row r="327" spans="1:27">
      <c r="E327" s="1">
        <v>0.18</v>
      </c>
      <c r="F327" s="1">
        <v>7.1</v>
      </c>
      <c r="G327" s="1">
        <v>5.95</v>
      </c>
      <c r="H327" s="1">
        <v>-8</v>
      </c>
      <c r="I327" s="1">
        <v>4.2</v>
      </c>
      <c r="J327" s="1">
        <v>-18</v>
      </c>
      <c r="K327" s="1">
        <v>-8.8000000000000007</v>
      </c>
      <c r="L327" s="1">
        <v>10.4</v>
      </c>
      <c r="M327" s="1">
        <v>1.8</v>
      </c>
      <c r="N327" s="1">
        <v>9</v>
      </c>
      <c r="Q327" s="118">
        <f t="shared" si="100"/>
        <v>1.7938709686795458</v>
      </c>
      <c r="R327" s="119">
        <f t="shared" si="101"/>
        <v>520.22258091706829</v>
      </c>
      <c r="S327" s="118">
        <f t="shared" si="102"/>
        <v>0.15793115095032637</v>
      </c>
      <c r="T327" s="118">
        <f t="shared" si="103"/>
        <v>10.484973873259559</v>
      </c>
      <c r="U327" s="118">
        <f t="shared" si="104"/>
        <v>-7.6474460441959753</v>
      </c>
      <c r="V327" s="118">
        <f t="shared" si="105"/>
        <v>-16.436854472900468</v>
      </c>
      <c r="W327" s="118">
        <f t="shared" si="106"/>
        <v>-13.599326643836884</v>
      </c>
      <c r="X327" s="118">
        <f>IF(OR(N327="",R327=""),NA(),10*LOG10((G327+'CMOS FOM coeff. calculation'!$Q$3)^'CMOS FOM coeff. calculation'!$P$3*(1000*E327)^'CMOS FOM coeff. calculation'!$N$3*R327^'CMOS FOM coeff. calculation'!$O$3*N327^'CMOS FOM coeff. calculation'!$M$3))</f>
        <v>15.51822073206985</v>
      </c>
      <c r="Y327" s="68"/>
    </row>
    <row r="328" spans="1:27">
      <c r="A328" t="s">
        <v>768</v>
      </c>
      <c r="B328" s="8" t="s">
        <v>773</v>
      </c>
      <c r="C328" t="s">
        <v>489</v>
      </c>
      <c r="D328" s="7" t="s">
        <v>774</v>
      </c>
      <c r="E328" s="1">
        <v>0.18</v>
      </c>
      <c r="F328" s="1">
        <v>1</v>
      </c>
      <c r="G328" s="1">
        <v>5.9</v>
      </c>
      <c r="H328" s="1">
        <v>-13.5</v>
      </c>
      <c r="I328" s="1">
        <v>2.5</v>
      </c>
      <c r="K328" s="1">
        <v>7.6</v>
      </c>
      <c r="L328" s="1">
        <v>9.4</v>
      </c>
      <c r="M328" s="1">
        <v>1.8</v>
      </c>
      <c r="N328" s="1">
        <v>3.42</v>
      </c>
      <c r="P328" s="1">
        <v>0.63</v>
      </c>
      <c r="Q328" s="118">
        <f t="shared" si="100"/>
        <v>0.87922832905120196</v>
      </c>
      <c r="R328" s="119">
        <f t="shared" si="101"/>
        <v>254.97621542484856</v>
      </c>
      <c r="S328" s="118" t="str">
        <f t="shared" si="102"/>
        <v/>
      </c>
      <c r="T328" s="118">
        <f t="shared" si="103"/>
        <v>6.0117902688393592</v>
      </c>
      <c r="U328" s="118">
        <f t="shared" si="104"/>
        <v>-6.0117902688393592</v>
      </c>
      <c r="V328" s="118" t="e">
        <f t="shared" si="105"/>
        <v>#N/A</v>
      </c>
      <c r="W328" s="118" t="e">
        <f t="shared" si="106"/>
        <v>#N/A</v>
      </c>
      <c r="X328" s="118">
        <f>IF(OR(N328="",R328=""),NA(),10*LOG10((G328+'CMOS FOM coeff. calculation'!$Q$3)^'CMOS FOM coeff. calculation'!$P$3*(1000*E328)^'CMOS FOM coeff. calculation'!$N$3*R328^'CMOS FOM coeff. calculation'!$O$3*N328^'CMOS FOM coeff. calculation'!$M$3))</f>
        <v>19.12427943605049</v>
      </c>
      <c r="Y328" s="68"/>
      <c r="Z328" t="s">
        <v>775</v>
      </c>
      <c r="AA328" s="3" t="s">
        <v>5</v>
      </c>
    </row>
    <row r="329" spans="1:27">
      <c r="A329" t="s">
        <v>781</v>
      </c>
      <c r="B329" s="8" t="s">
        <v>777</v>
      </c>
      <c r="C329" t="s">
        <v>778</v>
      </c>
      <c r="D329" s="7" t="s">
        <v>776</v>
      </c>
      <c r="E329" s="1">
        <v>0.18</v>
      </c>
      <c r="F329" s="1">
        <v>2</v>
      </c>
      <c r="G329" s="1">
        <v>4</v>
      </c>
      <c r="H329" s="1">
        <v>-10.5</v>
      </c>
      <c r="I329" s="1">
        <v>2</v>
      </c>
      <c r="J329" s="1">
        <v>-23</v>
      </c>
      <c r="K329" s="1">
        <v>-9</v>
      </c>
      <c r="L329" s="1">
        <v>16</v>
      </c>
      <c r="M329" s="1">
        <v>1.8</v>
      </c>
      <c r="N329" s="1">
        <v>7.68</v>
      </c>
      <c r="P329" s="1">
        <v>0.629</v>
      </c>
      <c r="Q329" s="118">
        <f t="shared" si="100"/>
        <v>0.59996359663908772</v>
      </c>
      <c r="R329" s="119">
        <f t="shared" si="101"/>
        <v>173.98944302533545</v>
      </c>
      <c r="S329" s="118">
        <f t="shared" si="102"/>
        <v>0.19451435916061532</v>
      </c>
      <c r="T329" s="118">
        <f t="shared" si="103"/>
        <v>6.6484197227377484</v>
      </c>
      <c r="U329" s="118">
        <f t="shared" si="104"/>
        <v>-5.6449864038578106</v>
      </c>
      <c r="V329" s="118">
        <f t="shared" si="105"/>
        <v>-11.494226555244467</v>
      </c>
      <c r="W329" s="118">
        <f t="shared" si="106"/>
        <v>-10.49079323636453</v>
      </c>
      <c r="X329" s="118">
        <f>IF(OR(N329="",R329=""),NA(),10*LOG10((G329+'CMOS FOM coeff. calculation'!$Q$3)^'CMOS FOM coeff. calculation'!$P$3*(1000*E329)^'CMOS FOM coeff. calculation'!$N$3*R329^'CMOS FOM coeff. calculation'!$O$3*N329^'CMOS FOM coeff. calculation'!$M$3))</f>
        <v>19.052906774694122</v>
      </c>
      <c r="Y329" s="68"/>
      <c r="Z329" t="s">
        <v>779</v>
      </c>
      <c r="AA329" s="3" t="s">
        <v>5</v>
      </c>
    </row>
    <row r="330" spans="1:27">
      <c r="A330" t="s">
        <v>781</v>
      </c>
      <c r="B330" s="8" t="s">
        <v>782</v>
      </c>
      <c r="C330" t="s">
        <v>783</v>
      </c>
      <c r="D330" s="7" t="s">
        <v>780</v>
      </c>
      <c r="E330" s="1">
        <v>0.09</v>
      </c>
      <c r="F330" s="1">
        <v>7.7</v>
      </c>
      <c r="G330" s="1">
        <v>4.3499999999999996</v>
      </c>
      <c r="H330" s="1">
        <v>-9.6999999999999993</v>
      </c>
      <c r="I330" s="1">
        <v>1.9</v>
      </c>
      <c r="K330" s="1">
        <v>-14</v>
      </c>
      <c r="L330" s="1">
        <v>25</v>
      </c>
      <c r="M330" s="1">
        <v>2.7</v>
      </c>
      <c r="N330" s="1">
        <v>42</v>
      </c>
      <c r="O330" s="1">
        <v>2.5000000000000001E-2</v>
      </c>
      <c r="Q330" s="118">
        <f t="shared" si="100"/>
        <v>0.55055763502234778</v>
      </c>
      <c r="R330" s="119">
        <f t="shared" si="101"/>
        <v>159.66171415648085</v>
      </c>
      <c r="S330" s="118" t="str">
        <f t="shared" si="102"/>
        <v/>
      </c>
      <c r="T330" s="118">
        <f t="shared" si="103"/>
        <v>12.505697026341327</v>
      </c>
      <c r="U330" s="118">
        <f t="shared" si="104"/>
        <v>-9.5507279424330545</v>
      </c>
      <c r="V330" s="118" t="e">
        <f t="shared" si="105"/>
        <v>#N/A</v>
      </c>
      <c r="W330" s="118" t="e">
        <f t="shared" si="106"/>
        <v>#N/A</v>
      </c>
      <c r="X330" s="118">
        <f>IF(OR(N330="",R330=""),NA(),10*LOG10((G330+'CMOS FOM coeff. calculation'!$Q$3)^'CMOS FOM coeff. calculation'!$P$3*(1000*E330)^'CMOS FOM coeff. calculation'!$N$3*R330^'CMOS FOM coeff. calculation'!$O$3*N330^'CMOS FOM coeff. calculation'!$M$3))</f>
        <v>15.971270175696946</v>
      </c>
      <c r="Y330" s="68"/>
      <c r="Z330" t="s">
        <v>784</v>
      </c>
      <c r="AA330" s="3" t="s">
        <v>5</v>
      </c>
    </row>
    <row r="331" spans="1:27">
      <c r="A331" t="s">
        <v>781</v>
      </c>
      <c r="B331" s="8" t="s">
        <v>790</v>
      </c>
      <c r="C331" t="s">
        <v>791</v>
      </c>
      <c r="D331" s="7" t="s">
        <v>789</v>
      </c>
      <c r="E331" s="1">
        <v>0.13</v>
      </c>
      <c r="F331" s="1">
        <v>3</v>
      </c>
      <c r="G331" s="1">
        <v>55.5</v>
      </c>
      <c r="H331" s="1">
        <v>-8</v>
      </c>
      <c r="I331" s="1">
        <v>7.1</v>
      </c>
      <c r="J331" s="1">
        <v>-22</v>
      </c>
      <c r="K331" s="1">
        <v>-12</v>
      </c>
      <c r="L331" s="1">
        <v>24.7</v>
      </c>
      <c r="M331" s="1">
        <v>2.4</v>
      </c>
      <c r="N331" s="1">
        <v>79.2</v>
      </c>
      <c r="P331" s="1">
        <v>0.48</v>
      </c>
      <c r="Q331" s="118">
        <f t="shared" si="100"/>
        <v>4.1426509706368959</v>
      </c>
      <c r="R331" s="119">
        <f t="shared" si="101"/>
        <v>1201.3687814846999</v>
      </c>
      <c r="S331" s="118">
        <f t="shared" si="102"/>
        <v>1.8557775632180642</v>
      </c>
      <c r="T331" s="118">
        <f t="shared" si="103"/>
        <v>12.687336130799691</v>
      </c>
      <c r="U331" s="118">
        <f t="shared" si="104"/>
        <v>-11.096931948400817</v>
      </c>
      <c r="V331" s="118">
        <f t="shared" si="105"/>
        <v>-20.982121455205153</v>
      </c>
      <c r="W331" s="118">
        <f t="shared" si="106"/>
        <v>-19.391717272806279</v>
      </c>
      <c r="X331" s="118">
        <f>IF(OR(N331="",R331=""),NA(),10*LOG10((G331+'CMOS FOM coeff. calculation'!$Q$3)^'CMOS FOM coeff. calculation'!$P$3*(1000*E331)^'CMOS FOM coeff. calculation'!$N$3*R331^'CMOS FOM coeff. calculation'!$O$3*N331^'CMOS FOM coeff. calculation'!$M$3))</f>
        <v>20.147721584469117</v>
      </c>
      <c r="Y331" s="68"/>
      <c r="Z331" t="s">
        <v>792</v>
      </c>
      <c r="AA331" s="3" t="s">
        <v>5</v>
      </c>
    </row>
    <row r="332" spans="1:27">
      <c r="A332" t="s">
        <v>794</v>
      </c>
      <c r="B332" s="8" t="s">
        <v>795</v>
      </c>
      <c r="C332" t="s">
        <v>796</v>
      </c>
      <c r="D332" s="7" t="s">
        <v>793</v>
      </c>
      <c r="E332" s="1">
        <v>0.13</v>
      </c>
      <c r="F332" s="1">
        <v>2.5</v>
      </c>
      <c r="G332" s="1">
        <v>3.25</v>
      </c>
      <c r="H332" s="1">
        <v>-5</v>
      </c>
      <c r="I332" s="1">
        <v>3.5</v>
      </c>
      <c r="J332" s="1">
        <v>-9.4</v>
      </c>
      <c r="K332" s="1">
        <v>-2.9</v>
      </c>
      <c r="L332" s="1">
        <v>18.5</v>
      </c>
      <c r="M332" s="1">
        <v>1.5</v>
      </c>
      <c r="N332" s="1">
        <v>24</v>
      </c>
      <c r="Q332" s="118">
        <f t="shared" si="100"/>
        <v>1.2564692382959046</v>
      </c>
      <c r="R332" s="119">
        <f t="shared" si="101"/>
        <v>364.37607910581232</v>
      </c>
      <c r="S332" s="118">
        <f t="shared" si="102"/>
        <v>8.0134897994913104</v>
      </c>
      <c r="T332" s="118">
        <f t="shared" si="103"/>
        <v>13.993755638851983</v>
      </c>
      <c r="U332" s="118">
        <f t="shared" si="104"/>
        <v>-12.667288943278525</v>
      </c>
      <c r="V332" s="118">
        <f t="shared" si="105"/>
        <v>-14.334476527364085</v>
      </c>
      <c r="W332" s="118">
        <f t="shared" si="106"/>
        <v>-13.008009831790627</v>
      </c>
      <c r="X332" s="118">
        <f>IF(OR(N332="",R332=""),NA(),10*LOG10((G332+'CMOS FOM coeff. calculation'!$Q$3)^'CMOS FOM coeff. calculation'!$P$3*(1000*E332)^'CMOS FOM coeff. calculation'!$N$3*R332^'CMOS FOM coeff. calculation'!$O$3*N332^'CMOS FOM coeff. calculation'!$M$3))</f>
        <v>13.819140884150759</v>
      </c>
      <c r="Y332" s="68"/>
      <c r="Z332" t="s">
        <v>797</v>
      </c>
      <c r="AA332" s="3" t="s">
        <v>5</v>
      </c>
    </row>
    <row r="333" spans="1:27">
      <c r="A333" t="s">
        <v>794</v>
      </c>
      <c r="B333" s="8" t="s">
        <v>799</v>
      </c>
      <c r="C333" t="s">
        <v>800</v>
      </c>
      <c r="D333" s="7" t="s">
        <v>798</v>
      </c>
      <c r="E333" s="1">
        <v>0.13</v>
      </c>
      <c r="F333" s="1">
        <v>7</v>
      </c>
      <c r="G333" s="1">
        <v>3.5</v>
      </c>
      <c r="H333" s="1">
        <v>-10</v>
      </c>
      <c r="I333" s="1">
        <v>2.4</v>
      </c>
      <c r="J333" s="1">
        <v>-20</v>
      </c>
      <c r="K333" s="1">
        <v>-4.0999999999999996</v>
      </c>
      <c r="L333" s="1">
        <v>17</v>
      </c>
      <c r="M333" s="1">
        <v>1.4</v>
      </c>
      <c r="N333" s="1">
        <v>25</v>
      </c>
      <c r="O333" s="1">
        <v>1.9E-2</v>
      </c>
      <c r="Q333" s="118">
        <f t="shared" si="100"/>
        <v>0.75282159431978612</v>
      </c>
      <c r="R333" s="119">
        <f t="shared" si="101"/>
        <v>218.31826235273797</v>
      </c>
      <c r="S333" s="118">
        <f t="shared" si="102"/>
        <v>0.4911872336272724</v>
      </c>
      <c r="T333" s="118">
        <f t="shared" si="103"/>
        <v>11.613689050377079</v>
      </c>
      <c r="U333" s="118">
        <f t="shared" si="104"/>
        <v>-8.7966955836628902</v>
      </c>
      <c r="V333" s="118">
        <f t="shared" si="105"/>
        <v>-16.16270349948114</v>
      </c>
      <c r="W333" s="118">
        <f t="shared" si="106"/>
        <v>-13.34571003276695</v>
      </c>
      <c r="X333" s="118">
        <f>IF(OR(N333="",R333=""),NA(),10*LOG10((G333+'CMOS FOM coeff. calculation'!$Q$3)^'CMOS FOM coeff. calculation'!$P$3*(1000*E333)^'CMOS FOM coeff. calculation'!$N$3*R333^'CMOS FOM coeff. calculation'!$O$3*N333^'CMOS FOM coeff. calculation'!$M$3))</f>
        <v>15.909378181842355</v>
      </c>
      <c r="Y333" s="68"/>
      <c r="Z333" t="s">
        <v>801</v>
      </c>
      <c r="AA333" s="3" t="s">
        <v>5</v>
      </c>
    </row>
    <row r="334" spans="1:27">
      <c r="A334" t="s">
        <v>794</v>
      </c>
      <c r="B334" s="8" t="s">
        <v>802</v>
      </c>
      <c r="C334" t="s">
        <v>805</v>
      </c>
      <c r="D334" s="7" t="s">
        <v>803</v>
      </c>
      <c r="E334" s="1">
        <v>0.09</v>
      </c>
      <c r="F334" s="1">
        <v>6</v>
      </c>
      <c r="G334" s="1">
        <v>3</v>
      </c>
      <c r="H334" s="1">
        <v>-10</v>
      </c>
      <c r="I334" s="1">
        <v>2.5</v>
      </c>
      <c r="K334" s="1">
        <v>-8</v>
      </c>
      <c r="L334" s="1">
        <v>17.399999999999999</v>
      </c>
      <c r="M334" s="1">
        <v>1.2</v>
      </c>
      <c r="N334" s="1">
        <v>9.8000000000000007</v>
      </c>
      <c r="O334" s="1">
        <v>1.6999999999999999E-3</v>
      </c>
      <c r="P334" s="1">
        <v>0.28999999999999998</v>
      </c>
      <c r="Q334" s="118">
        <f t="shared" si="100"/>
        <v>0.79270425619514384</v>
      </c>
      <c r="R334" s="119">
        <f t="shared" si="101"/>
        <v>229.88423429659173</v>
      </c>
      <c r="S334" s="118" t="str">
        <f t="shared" si="102"/>
        <v/>
      </c>
      <c r="T334" s="118">
        <f t="shared" si="103"/>
        <v>13.057823661829644</v>
      </c>
      <c r="U334" s="118">
        <f t="shared" si="104"/>
        <v>-10.463986160550832</v>
      </c>
      <c r="V334" s="118" t="e">
        <f t="shared" si="105"/>
        <v>#N/A</v>
      </c>
      <c r="W334" s="118" t="e">
        <f t="shared" si="106"/>
        <v>#N/A</v>
      </c>
      <c r="X334" s="118">
        <f>IF(OR(N334="",R334=""),NA(),10*LOG10((G334+'CMOS FOM coeff. calculation'!$Q$3)^'CMOS FOM coeff. calculation'!$P$3*(1000*E334)^'CMOS FOM coeff. calculation'!$N$3*R334^'CMOS FOM coeff. calculation'!$O$3*N334^'CMOS FOM coeff. calculation'!$M$3))</f>
        <v>15.154231661591592</v>
      </c>
      <c r="Y334" s="68"/>
      <c r="Z334" t="s">
        <v>804</v>
      </c>
      <c r="AA334" s="3" t="s">
        <v>5</v>
      </c>
    </row>
    <row r="335" spans="1:27">
      <c r="B335" s="8"/>
      <c r="D335" s="7"/>
      <c r="E335" s="1">
        <v>0.09</v>
      </c>
      <c r="F335" s="1">
        <v>6</v>
      </c>
      <c r="G335" s="1">
        <v>3</v>
      </c>
      <c r="I335" s="1">
        <v>3.4</v>
      </c>
      <c r="K335" s="1">
        <v>-4</v>
      </c>
      <c r="L335" s="1">
        <v>15.3</v>
      </c>
      <c r="M335" s="1">
        <v>1</v>
      </c>
      <c r="N335" s="1">
        <v>3.4</v>
      </c>
      <c r="O335" s="1">
        <v>1.6999999999999999E-3</v>
      </c>
      <c r="P335" s="1">
        <v>0.28999999999999998</v>
      </c>
      <c r="Q335" s="118">
        <f t="shared" si="100"/>
        <v>1.2238809102976658</v>
      </c>
      <c r="R335" s="119">
        <f t="shared" si="101"/>
        <v>354.92546398632305</v>
      </c>
      <c r="S335" s="118" t="str">
        <f t="shared" si="102"/>
        <v/>
      </c>
      <c r="T335" s="118">
        <f t="shared" si="103"/>
        <v>13.411612841332492</v>
      </c>
      <c r="U335" s="118">
        <f t="shared" si="104"/>
        <v>-10.817775340053679</v>
      </c>
      <c r="V335" s="118" t="e">
        <f t="shared" si="105"/>
        <v>#N/A</v>
      </c>
      <c r="W335" s="118" t="e">
        <f t="shared" si="106"/>
        <v>#N/A</v>
      </c>
      <c r="X335" s="118">
        <f>IF(OR(N335="",R335=""),NA(),10*LOG10((G335+'CMOS FOM coeff. calculation'!$Q$3)^'CMOS FOM coeff. calculation'!$P$3*(1000*E335)^'CMOS FOM coeff. calculation'!$N$3*R335^'CMOS FOM coeff. calculation'!$O$3*N335^'CMOS FOM coeff. calculation'!$M$3))</f>
        <v>14.376074241388785</v>
      </c>
      <c r="Y335" s="68"/>
      <c r="Z335" s="4"/>
      <c r="AA335" s="3"/>
    </row>
    <row r="336" spans="1:27">
      <c r="A336" t="s">
        <v>794</v>
      </c>
      <c r="B336" s="8" t="s">
        <v>806</v>
      </c>
      <c r="C336" t="s">
        <v>808</v>
      </c>
      <c r="D336" s="7" t="s">
        <v>807</v>
      </c>
      <c r="E336" s="1">
        <v>6.5000000000000002E-2</v>
      </c>
      <c r="F336" s="1">
        <v>6</v>
      </c>
      <c r="G336" s="1">
        <v>5</v>
      </c>
      <c r="I336" s="1">
        <v>2.5</v>
      </c>
      <c r="K336" s="1">
        <v>12</v>
      </c>
      <c r="L336" s="1">
        <v>12</v>
      </c>
      <c r="M336" s="1">
        <v>1.2</v>
      </c>
      <c r="N336" s="1">
        <v>15</v>
      </c>
      <c r="Q336" s="118">
        <f t="shared" si="100"/>
        <v>0.83069256769836219</v>
      </c>
      <c r="R336" s="119">
        <f t="shared" si="101"/>
        <v>240.90084463252504</v>
      </c>
      <c r="S336" s="118" t="str">
        <f t="shared" si="102"/>
        <v/>
      </c>
      <c r="T336" s="118">
        <f t="shared" si="103"/>
        <v>14.282729327375076</v>
      </c>
      <c r="U336" s="118">
        <f t="shared" si="104"/>
        <v>-11.688891826096263</v>
      </c>
      <c r="V336" s="118" t="e">
        <f t="shared" si="105"/>
        <v>#N/A</v>
      </c>
      <c r="W336" s="118" t="e">
        <f t="shared" si="106"/>
        <v>#N/A</v>
      </c>
      <c r="X336" s="118">
        <f>IF(OR(N336="",R336=""),NA(),10*LOG10((G336+'CMOS FOM coeff. calculation'!$Q$3)^'CMOS FOM coeff. calculation'!$P$3*(1000*E336)^'CMOS FOM coeff. calculation'!$N$3*R336^'CMOS FOM coeff. calculation'!$O$3*N336^'CMOS FOM coeff. calculation'!$M$3))</f>
        <v>14.567690648168108</v>
      </c>
      <c r="Y336" s="68"/>
      <c r="Z336" t="s">
        <v>809</v>
      </c>
      <c r="AA336" s="3" t="s">
        <v>5</v>
      </c>
    </row>
    <row r="337" spans="1:27">
      <c r="A337" t="s">
        <v>794</v>
      </c>
      <c r="B337" s="8" t="s">
        <v>810</v>
      </c>
      <c r="C337" t="s">
        <v>813</v>
      </c>
      <c r="D337" s="7" t="s">
        <v>811</v>
      </c>
      <c r="E337" s="1">
        <v>0.13</v>
      </c>
      <c r="F337" s="1">
        <v>14</v>
      </c>
      <c r="G337" s="1">
        <v>58</v>
      </c>
      <c r="H337" s="1">
        <v>-15</v>
      </c>
      <c r="I337" s="1">
        <v>8.8000000000000007</v>
      </c>
      <c r="L337" s="1">
        <v>12</v>
      </c>
      <c r="M337" s="1">
        <v>1.2</v>
      </c>
      <c r="Q337" s="118">
        <f t="shared" si="100"/>
        <v>7.029294232545527</v>
      </c>
      <c r="R337" s="119">
        <f t="shared" si="101"/>
        <v>2038.4953274382028</v>
      </c>
      <c r="S337" s="118" t="str">
        <f t="shared" si="102"/>
        <v/>
      </c>
      <c r="T337" s="118" t="e">
        <f t="shared" si="103"/>
        <v>#N/A</v>
      </c>
      <c r="U337" s="118" t="e">
        <f t="shared" si="104"/>
        <v>#N/A</v>
      </c>
      <c r="V337" s="118" t="e">
        <f t="shared" si="105"/>
        <v>#N/A</v>
      </c>
      <c r="W337" s="118" t="e">
        <f t="shared" si="106"/>
        <v>#N/A</v>
      </c>
      <c r="X337" s="118" t="e">
        <f>IF(OR(N337="",R337=""),NA(),10*LOG10((G337+'CMOS FOM coeff. calculation'!$Q$3)^'CMOS FOM coeff. calculation'!$P$3*(1000*E337)^'CMOS FOM coeff. calculation'!$N$3*R337^'CMOS FOM coeff. calculation'!$O$3*N337^'CMOS FOM coeff. calculation'!$M$3))</f>
        <v>#N/A</v>
      </c>
      <c r="Y337" s="68"/>
      <c r="Z337" t="s">
        <v>812</v>
      </c>
      <c r="AA337" s="3" t="s">
        <v>5</v>
      </c>
    </row>
    <row r="338" spans="1:27">
      <c r="A338" t="s">
        <v>815</v>
      </c>
      <c r="B338" s="8" t="s">
        <v>814</v>
      </c>
      <c r="C338" t="s">
        <v>818</v>
      </c>
      <c r="D338" s="7" t="s">
        <v>816</v>
      </c>
      <c r="E338" s="1">
        <v>0.13</v>
      </c>
      <c r="F338" s="1">
        <v>1.48</v>
      </c>
      <c r="G338" s="1">
        <v>18.86</v>
      </c>
      <c r="H338" s="1">
        <v>-7</v>
      </c>
      <c r="I338" s="1">
        <v>4.0999999999999996</v>
      </c>
      <c r="K338" s="1">
        <v>-5.6</v>
      </c>
      <c r="L338" s="1">
        <v>22.4</v>
      </c>
      <c r="M338" s="1">
        <v>1.5</v>
      </c>
      <c r="N338" s="1">
        <v>36</v>
      </c>
      <c r="O338" s="1">
        <v>0.17</v>
      </c>
      <c r="P338" s="1">
        <v>0.23</v>
      </c>
      <c r="Q338" s="118">
        <f t="shared" si="100"/>
        <v>1.5794847689334648</v>
      </c>
      <c r="R338" s="119">
        <f t="shared" si="101"/>
        <v>458.05058299070481</v>
      </c>
      <c r="S338" s="118" t="str">
        <f t="shared" si="102"/>
        <v/>
      </c>
      <c r="T338" s="118">
        <f t="shared" si="103"/>
        <v>10.483306805793486</v>
      </c>
      <c r="U338" s="118">
        <f t="shared" si="104"/>
        <v>-9.9157677544769616</v>
      </c>
      <c r="V338" s="118" t="e">
        <f t="shared" si="105"/>
        <v>#N/A</v>
      </c>
      <c r="W338" s="118" t="e">
        <f t="shared" si="106"/>
        <v>#N/A</v>
      </c>
      <c r="X338" s="118">
        <f>IF(OR(N338="",R338=""),NA(),10*LOG10((G338+'CMOS FOM coeff. calculation'!$Q$3)^'CMOS FOM coeff. calculation'!$P$3*(1000*E338)^'CMOS FOM coeff. calculation'!$N$3*R338^'CMOS FOM coeff. calculation'!$O$3*N338^'CMOS FOM coeff. calculation'!$M$3))</f>
        <v>18.122834487229078</v>
      </c>
      <c r="Y338" s="68"/>
      <c r="Z338" t="s">
        <v>817</v>
      </c>
      <c r="AA338" s="3" t="s">
        <v>5</v>
      </c>
    </row>
    <row r="339" spans="1:27">
      <c r="A339" t="s">
        <v>815</v>
      </c>
      <c r="B339" s="8" t="s">
        <v>819</v>
      </c>
      <c r="C339" t="s">
        <v>821</v>
      </c>
      <c r="D339" s="7" t="s">
        <v>820</v>
      </c>
      <c r="E339" s="1">
        <v>6.5000000000000002E-2</v>
      </c>
      <c r="F339" s="1">
        <v>7.7</v>
      </c>
      <c r="G339" s="1">
        <v>59.65</v>
      </c>
      <c r="H339" s="1">
        <v>-10</v>
      </c>
      <c r="I339" s="1">
        <v>6.1</v>
      </c>
      <c r="J339" s="1">
        <v>-15.6</v>
      </c>
      <c r="L339" s="1">
        <v>22.3</v>
      </c>
      <c r="M339" s="1">
        <v>1.2</v>
      </c>
      <c r="N339" s="1">
        <v>34.799999999999997</v>
      </c>
      <c r="P339" s="1">
        <v>0.21</v>
      </c>
      <c r="Q339" s="118">
        <f t="shared" si="100"/>
        <v>3.0920098820545747</v>
      </c>
      <c r="R339" s="119">
        <f t="shared" si="101"/>
        <v>896.68286579582661</v>
      </c>
      <c r="S339" s="118">
        <f t="shared" si="102"/>
        <v>4.6498091258385976</v>
      </c>
      <c r="T339" s="118">
        <f t="shared" si="103"/>
        <v>14.031425137065499</v>
      </c>
      <c r="U339" s="118">
        <f t="shared" si="104"/>
        <v>-11.076456053157226</v>
      </c>
      <c r="V339" s="118">
        <f t="shared" si="105"/>
        <v>-18.906984880670237</v>
      </c>
      <c r="W339" s="118">
        <f t="shared" si="106"/>
        <v>-15.952015796761964</v>
      </c>
      <c r="X339" s="118">
        <f>IF(OR(N339="",R339=""),NA(),10*LOG10((G339+'CMOS FOM coeff. calculation'!$Q$3)^'CMOS FOM coeff. calculation'!$P$3*(1000*E339)^'CMOS FOM coeff. calculation'!$N$3*R339^'CMOS FOM coeff. calculation'!$O$3*N339^'CMOS FOM coeff. calculation'!$M$3))</f>
        <v>20.400495161203949</v>
      </c>
      <c r="Y339" s="68"/>
      <c r="Z339" t="s">
        <v>822</v>
      </c>
      <c r="AA339" s="3" t="s">
        <v>5</v>
      </c>
    </row>
    <row r="340" spans="1:27">
      <c r="A340" t="s">
        <v>823</v>
      </c>
      <c r="B340" s="8" t="s">
        <v>824</v>
      </c>
      <c r="C340" t="s">
        <v>266</v>
      </c>
      <c r="D340" s="7" t="s">
        <v>825</v>
      </c>
      <c r="E340" s="1">
        <v>0.18</v>
      </c>
      <c r="F340" s="1">
        <v>0.62</v>
      </c>
      <c r="G340" s="1">
        <v>0.61</v>
      </c>
      <c r="H340" s="1">
        <v>-10</v>
      </c>
      <c r="I340" s="1">
        <v>2</v>
      </c>
      <c r="K340" s="1">
        <v>-3.2</v>
      </c>
      <c r="L340" s="1">
        <v>21</v>
      </c>
      <c r="M340" s="1">
        <v>1.8</v>
      </c>
      <c r="N340" s="1">
        <v>3.6</v>
      </c>
      <c r="P340" s="1">
        <v>0.33150000000000002</v>
      </c>
      <c r="Q340" s="118">
        <f t="shared" si="100"/>
        <v>0.58957636398551128</v>
      </c>
      <c r="R340" s="119">
        <f t="shared" si="101"/>
        <v>170.97714555579827</v>
      </c>
      <c r="S340" s="118" t="str">
        <f t="shared" si="102"/>
        <v/>
      </c>
      <c r="T340" s="118">
        <f t="shared" si="103"/>
        <v>10.92057667853474</v>
      </c>
      <c r="U340" s="118">
        <f t="shared" si="104"/>
        <v>-11.612604380207227</v>
      </c>
      <c r="V340" s="118" t="e">
        <f t="shared" si="105"/>
        <v>#N/A</v>
      </c>
      <c r="W340" s="118" t="e">
        <f t="shared" si="106"/>
        <v>#N/A</v>
      </c>
      <c r="X340" s="118">
        <f>IF(OR(N340="",R340=""),NA(),10*LOG10((G340+'CMOS FOM coeff. calculation'!$Q$3)^'CMOS FOM coeff. calculation'!$P$3*(1000*E340)^'CMOS FOM coeff. calculation'!$N$3*R340^'CMOS FOM coeff. calculation'!$O$3*N340^'CMOS FOM coeff. calculation'!$M$3))</f>
        <v>17.988961143838452</v>
      </c>
      <c r="Y340" s="68"/>
      <c r="Z340" t="s">
        <v>826</v>
      </c>
      <c r="AA340" s="3" t="s">
        <v>5</v>
      </c>
    </row>
    <row r="341" spans="1:27" ht="14.25" customHeight="1">
      <c r="A341" t="s">
        <v>832</v>
      </c>
      <c r="B341" s="8" t="s">
        <v>1862</v>
      </c>
      <c r="C341" t="s">
        <v>835</v>
      </c>
      <c r="D341" s="7" t="s">
        <v>833</v>
      </c>
      <c r="E341" s="1">
        <v>3.2000000000000001E-2</v>
      </c>
      <c r="F341" s="1">
        <v>1.25</v>
      </c>
      <c r="G341" s="1">
        <v>2.625</v>
      </c>
      <c r="H341" s="1">
        <v>-10</v>
      </c>
      <c r="I341" s="1">
        <v>3</v>
      </c>
      <c r="J341" s="1">
        <v>-5</v>
      </c>
      <c r="K341" s="1">
        <v>5</v>
      </c>
      <c r="L341" s="1">
        <v>12</v>
      </c>
      <c r="M341" s="1">
        <v>1.8</v>
      </c>
      <c r="N341" s="1">
        <v>19.8</v>
      </c>
      <c r="O341" s="1">
        <v>0.35</v>
      </c>
      <c r="Q341" s="118">
        <f t="shared" si="100"/>
        <v>1.0622881670653055</v>
      </c>
      <c r="R341" s="119">
        <f t="shared" si="101"/>
        <v>308.06356844893861</v>
      </c>
      <c r="S341" s="118">
        <f t="shared" si="102"/>
        <v>4.6956445702558858</v>
      </c>
      <c r="T341" s="118">
        <f t="shared" si="103"/>
        <v>21.721778976874706</v>
      </c>
      <c r="U341" s="118">
        <f t="shared" si="104"/>
        <v>-21.398745600181183</v>
      </c>
      <c r="V341" s="118">
        <f t="shared" si="105"/>
        <v>-20.219276510563155</v>
      </c>
      <c r="W341" s="118">
        <f t="shared" si="106"/>
        <v>-19.896243133869632</v>
      </c>
      <c r="X341" s="118">
        <f>IF(OR(N341="",R341=""),NA(),10*LOG10((G341+'CMOS FOM coeff. calculation'!$Q$3)^'CMOS FOM coeff. calculation'!$P$3*(1000*E341)^'CMOS FOM coeff. calculation'!$N$3*R341^'CMOS FOM coeff. calculation'!$O$3*N341^'CMOS FOM coeff. calculation'!$M$3))</f>
        <v>10.064057849852592</v>
      </c>
      <c r="Y341" s="68"/>
      <c r="Z341" t="s">
        <v>834</v>
      </c>
      <c r="AA341" s="3" t="s">
        <v>2078</v>
      </c>
    </row>
    <row r="342" spans="1:27">
      <c r="A342" t="s">
        <v>838</v>
      </c>
      <c r="B342" s="8" t="s">
        <v>837</v>
      </c>
      <c r="C342" t="s">
        <v>839</v>
      </c>
      <c r="D342" s="7" t="s">
        <v>836</v>
      </c>
      <c r="E342" s="1">
        <v>3.2000000000000001E-2</v>
      </c>
      <c r="F342" s="1">
        <v>15</v>
      </c>
      <c r="G342" s="1">
        <v>202.5</v>
      </c>
      <c r="H342" s="1">
        <v>-10</v>
      </c>
      <c r="L342" s="1">
        <v>18</v>
      </c>
      <c r="M342" s="1">
        <v>1</v>
      </c>
      <c r="N342" s="1">
        <v>45</v>
      </c>
      <c r="O342" s="1">
        <v>0.26</v>
      </c>
      <c r="Q342" s="118" t="str">
        <f t="shared" si="100"/>
        <v/>
      </c>
      <c r="R342" s="119" t="str">
        <f t="shared" si="101"/>
        <v/>
      </c>
      <c r="S342" s="118" t="str">
        <f t="shared" si="102"/>
        <v/>
      </c>
      <c r="T342" s="118" t="e">
        <f t="shared" si="103"/>
        <v>#N/A</v>
      </c>
      <c r="U342" s="118" t="e">
        <f t="shared" si="104"/>
        <v>#N/A</v>
      </c>
      <c r="V342" s="118" t="e">
        <f t="shared" si="105"/>
        <v>#N/A</v>
      </c>
      <c r="W342" s="118" t="e">
        <f t="shared" si="106"/>
        <v>#N/A</v>
      </c>
      <c r="X342" s="118" t="e">
        <f>IF(OR(N342="",R342=""),NA(),10*LOG10((G342+'CMOS FOM coeff. calculation'!$Q$3)^'CMOS FOM coeff. calculation'!$P$3*(1000*E342)^'CMOS FOM coeff. calculation'!$N$3*R342^'CMOS FOM coeff. calculation'!$O$3*N342^'CMOS FOM coeff. calculation'!$M$3))</f>
        <v>#N/A</v>
      </c>
      <c r="Y342" s="68"/>
      <c r="Z342" s="66" t="s">
        <v>840</v>
      </c>
      <c r="AA342" s="3" t="s">
        <v>5</v>
      </c>
    </row>
    <row r="343" spans="1:27">
      <c r="A343" t="s">
        <v>841</v>
      </c>
      <c r="B343" s="8" t="s">
        <v>2544</v>
      </c>
      <c r="C343" t="s">
        <v>843</v>
      </c>
      <c r="D343" s="7" t="s">
        <v>842</v>
      </c>
      <c r="E343" s="1">
        <v>0.13</v>
      </c>
      <c r="F343" s="1">
        <v>0.82199999999999995</v>
      </c>
      <c r="G343" s="1">
        <v>0.45900000000000002</v>
      </c>
      <c r="I343" s="1">
        <v>1.4</v>
      </c>
      <c r="L343" s="1">
        <v>23</v>
      </c>
      <c r="M343" s="1">
        <v>1.5</v>
      </c>
      <c r="N343" s="1">
        <v>54</v>
      </c>
      <c r="Q343" s="118">
        <f t="shared" si="100"/>
        <v>0.38230030492528844</v>
      </c>
      <c r="R343" s="119">
        <f t="shared" si="101"/>
        <v>110.86708842833364</v>
      </c>
      <c r="S343" s="118" t="str">
        <f t="shared" si="102"/>
        <v/>
      </c>
      <c r="T343" s="118">
        <f t="shared" si="103"/>
        <v>15.667363042557254</v>
      </c>
      <c r="U343" s="118">
        <f t="shared" si="104"/>
        <v>-15.951123650757086</v>
      </c>
      <c r="V343" s="118" t="e">
        <f t="shared" si="105"/>
        <v>#N/A</v>
      </c>
      <c r="W343" s="118" t="e">
        <f t="shared" si="106"/>
        <v>#N/A</v>
      </c>
      <c r="X343" s="118">
        <f>IF(OR(N343="",R343=""),NA(),10*LOG10((G343+'CMOS FOM coeff. calculation'!$Q$3)^'CMOS FOM coeff. calculation'!$P$3*(1000*E343)^'CMOS FOM coeff. calculation'!$N$3*R343^'CMOS FOM coeff. calculation'!$O$3*N343^'CMOS FOM coeff. calculation'!$M$3))</f>
        <v>16.25167906250541</v>
      </c>
      <c r="Y343" s="68"/>
      <c r="Z343" t="s">
        <v>844</v>
      </c>
      <c r="AA343" s="3" t="s">
        <v>5</v>
      </c>
    </row>
    <row r="344" spans="1:27">
      <c r="A344" t="s">
        <v>2019</v>
      </c>
      <c r="B344" s="8" t="s">
        <v>2543</v>
      </c>
      <c r="C344" t="s">
        <v>1990</v>
      </c>
      <c r="D344" s="7" t="s">
        <v>2020</v>
      </c>
      <c r="E344" s="1">
        <v>2.8000000000000001E-2</v>
      </c>
      <c r="F344" s="1">
        <v>28.3</v>
      </c>
      <c r="G344" s="1">
        <v>82.25</v>
      </c>
      <c r="H344" s="1">
        <v>-7.6</v>
      </c>
      <c r="I344" s="1">
        <v>6.4</v>
      </c>
      <c r="J344" s="1">
        <v>-28.1</v>
      </c>
      <c r="L344" s="1">
        <v>29.6</v>
      </c>
      <c r="M344" s="1">
        <v>0.9</v>
      </c>
      <c r="N344" s="1">
        <v>31.3</v>
      </c>
      <c r="O344" s="1">
        <v>0.25</v>
      </c>
      <c r="Q344" s="118">
        <f t="shared" si="100"/>
        <v>3.3688521953799233</v>
      </c>
      <c r="R344" s="119">
        <f t="shared" si="101"/>
        <v>976.96713666017774</v>
      </c>
      <c r="S344" s="118">
        <f t="shared" si="102"/>
        <v>1.4109887280038411</v>
      </c>
      <c r="T344" s="118">
        <f t="shared" si="103"/>
        <v>18.196954235258954</v>
      </c>
      <c r="U344" s="118">
        <f t="shared" si="104"/>
        <v>-13.357666116844653</v>
      </c>
      <c r="V344" s="118">
        <f t="shared" si="105"/>
        <v>-23.891336672592924</v>
      </c>
      <c r="W344" s="118">
        <f t="shared" si="106"/>
        <v>-19.052048554178626</v>
      </c>
      <c r="X344" s="118">
        <f>IF(OR(N344="",R344=""),NA(),10*LOG10((G344+'CMOS FOM coeff. calculation'!$Q$3)^'CMOS FOM coeff. calculation'!$P$3*(1000*E344)^'CMOS FOM coeff. calculation'!$N$3*R344^'CMOS FOM coeff. calculation'!$O$3*N344^'CMOS FOM coeff. calculation'!$M$3))</f>
        <v>19.916142587877683</v>
      </c>
      <c r="Y344" s="68"/>
      <c r="Z344" t="s">
        <v>2021</v>
      </c>
      <c r="AA344" s="3" t="s">
        <v>2079</v>
      </c>
    </row>
    <row r="345" spans="1:27">
      <c r="B345" s="8"/>
      <c r="D345" s="7"/>
      <c r="E345" s="1">
        <v>2.8000000000000001E-2</v>
      </c>
      <c r="F345" s="1">
        <v>30</v>
      </c>
      <c r="G345" s="1">
        <v>81</v>
      </c>
      <c r="H345" s="1">
        <v>-14</v>
      </c>
      <c r="I345" s="1">
        <v>7.8</v>
      </c>
      <c r="J345" s="1">
        <v>-12.3</v>
      </c>
      <c r="L345" s="1">
        <v>18</v>
      </c>
      <c r="M345" s="1">
        <v>0.9</v>
      </c>
      <c r="N345" s="1">
        <v>31.3</v>
      </c>
      <c r="O345" s="1">
        <v>0.25</v>
      </c>
      <c r="Q345" s="118">
        <f t="shared" si="100"/>
        <v>5.106528889484073</v>
      </c>
      <c r="R345" s="119">
        <f t="shared" si="101"/>
        <v>1480.8933779503811</v>
      </c>
      <c r="S345" s="118">
        <f t="shared" si="102"/>
        <v>3.6564679254361678</v>
      </c>
      <c r="T345" s="118">
        <f t="shared" si="103"/>
        <v>20.047731846853345</v>
      </c>
      <c r="U345" s="118">
        <f t="shared" si="104"/>
        <v>-15.123994331121137</v>
      </c>
      <c r="V345" s="118">
        <f t="shared" si="105"/>
        <v>-24.341483912269233</v>
      </c>
      <c r="W345" s="118">
        <f t="shared" si="106"/>
        <v>-19.417746396537026</v>
      </c>
      <c r="X345" s="118">
        <f>IF(OR(N345="",R345=""),NA(),10*LOG10((G345+'CMOS FOM coeff. calculation'!$Q$3)^'CMOS FOM coeff. calculation'!$P$3*(1000*E345)^'CMOS FOM coeff. calculation'!$N$3*R345^'CMOS FOM coeff. calculation'!$O$3*N345^'CMOS FOM coeff. calculation'!$M$3))</f>
        <v>18.177042391994323</v>
      </c>
      <c r="Y345" s="68"/>
      <c r="Z345" s="4"/>
      <c r="AA345" s="3"/>
    </row>
    <row r="346" spans="1:27">
      <c r="A346" t="s">
        <v>2022</v>
      </c>
      <c r="B346" s="8" t="s">
        <v>2542</v>
      </c>
      <c r="C346" t="s">
        <v>2023</v>
      </c>
      <c r="D346" s="7" t="s">
        <v>2024</v>
      </c>
      <c r="E346" s="1">
        <v>5.5E-2</v>
      </c>
      <c r="G346" s="1">
        <v>5.5</v>
      </c>
      <c r="I346" s="1">
        <v>2.6</v>
      </c>
      <c r="J346" s="1">
        <v>-6</v>
      </c>
      <c r="L346" s="1">
        <v>12.5</v>
      </c>
      <c r="M346" s="1">
        <v>2.5</v>
      </c>
      <c r="N346" s="1">
        <v>22.5</v>
      </c>
      <c r="Q346" s="118">
        <f t="shared" si="100"/>
        <v>0.86854259817413482</v>
      </c>
      <c r="R346" s="119">
        <f t="shared" si="101"/>
        <v>251.87735347049909</v>
      </c>
      <c r="S346" s="118">
        <f t="shared" si="102"/>
        <v>4.2156472783586754</v>
      </c>
      <c r="T346" s="118">
        <f t="shared" si="103"/>
        <v>15.754599172448572</v>
      </c>
      <c r="U346" s="118" t="e">
        <f t="shared" si="104"/>
        <v>#N/A</v>
      </c>
      <c r="V346" s="118">
        <f t="shared" si="105"/>
        <v>-16.448077941225932</v>
      </c>
      <c r="W346" s="118" t="e">
        <f t="shared" si="106"/>
        <v>#N/A</v>
      </c>
      <c r="X346" s="118">
        <f>IF(OR(N346="",R346=""),NA(),10*LOG10((G346+'CMOS FOM coeff. calculation'!$Q$3)^'CMOS FOM coeff. calculation'!$P$3*(1000*E346)^'CMOS FOM coeff. calculation'!$N$3*R346^'CMOS FOM coeff. calculation'!$O$3*N346^'CMOS FOM coeff. calculation'!$M$3))</f>
        <v>13.75679622061222</v>
      </c>
      <c r="Y346" s="68"/>
      <c r="Z346" t="s">
        <v>2025</v>
      </c>
      <c r="AA346" s="3" t="s">
        <v>5</v>
      </c>
    </row>
    <row r="347" spans="1:27" ht="18">
      <c r="A347" s="80" t="s">
        <v>2547</v>
      </c>
      <c r="B347" s="8" t="s">
        <v>2541</v>
      </c>
      <c r="C347" t="s">
        <v>2545</v>
      </c>
      <c r="D347" t="s">
        <v>2546</v>
      </c>
      <c r="E347" s="1">
        <v>4.4999999999999998E-2</v>
      </c>
      <c r="F347" s="1">
        <v>15</v>
      </c>
      <c r="G347" s="1">
        <f>(88+73)/2</f>
        <v>80.5</v>
      </c>
      <c r="I347" s="1">
        <v>5.5</v>
      </c>
      <c r="J347" s="1">
        <v>-7.4</v>
      </c>
      <c r="K347" s="1">
        <v>2.2000000000000002</v>
      </c>
      <c r="L347" s="1">
        <v>16.8</v>
      </c>
      <c r="N347" s="1">
        <v>13.5</v>
      </c>
      <c r="P347" s="1">
        <v>0.63</v>
      </c>
      <c r="Q347" s="118">
        <f t="shared" si="100"/>
        <v>2.6025079910989533</v>
      </c>
      <c r="R347" s="119">
        <f t="shared" si="101"/>
        <v>754.72731741869643</v>
      </c>
      <c r="S347" s="118">
        <f t="shared" si="102"/>
        <v>8.5276658136998158</v>
      </c>
      <c r="T347" s="118">
        <f t="shared" si="103"/>
        <v>13.173560559215074</v>
      </c>
      <c r="U347" s="118">
        <f t="shared" si="104"/>
        <v>-9.2532563623628032</v>
      </c>
      <c r="V347" s="118">
        <f t="shared" si="105"/>
        <v>-15.701933859097918</v>
      </c>
      <c r="W347" s="118">
        <f t="shared" si="106"/>
        <v>-11.781629662245647</v>
      </c>
      <c r="X347" s="118">
        <f>IF(OR(N347="",R347=""),NA(),10*LOG10((G347+'CMOS FOM coeff. calculation'!$Q$3)^'CMOS FOM coeff. calculation'!$P$3*(1000*E347)^'CMOS FOM coeff. calculation'!$N$3*R347^'CMOS FOM coeff. calculation'!$O$3*N347^'CMOS FOM coeff. calculation'!$M$3))</f>
        <v>22.938709013092371</v>
      </c>
      <c r="Y347" s="68"/>
      <c r="Z347" s="66" t="s">
        <v>2548</v>
      </c>
      <c r="AA347" s="3"/>
    </row>
    <row r="348" spans="1:27" s="63" customFormat="1">
      <c r="A348" s="105" t="s">
        <v>3154</v>
      </c>
      <c r="B348" s="8" t="s">
        <v>3152</v>
      </c>
      <c r="C348" s="110" t="s">
        <v>3153</v>
      </c>
      <c r="D348" t="s">
        <v>3155</v>
      </c>
      <c r="E348" s="106">
        <v>2.8000000000000001E-2</v>
      </c>
      <c r="F348" s="106">
        <v>2.75</v>
      </c>
      <c r="G348" s="106">
        <v>1.625</v>
      </c>
      <c r="H348" s="106">
        <v>-13</v>
      </c>
      <c r="I348" s="106">
        <v>2.7</v>
      </c>
      <c r="J348" s="106">
        <v>-24</v>
      </c>
      <c r="K348" s="106">
        <v>-8.5</v>
      </c>
      <c r="L348" s="106">
        <v>19.600000000000001</v>
      </c>
      <c r="M348" s="106">
        <v>1</v>
      </c>
      <c r="N348" s="106">
        <v>3.4</v>
      </c>
      <c r="O348" s="106">
        <v>8.0000000000000002E-3</v>
      </c>
      <c r="P348" s="106"/>
      <c r="Q348" s="122">
        <f t="shared" si="100"/>
        <v>0.87164452886979982</v>
      </c>
      <c r="R348" s="123">
        <f t="shared" si="101"/>
        <v>252.77691337224195</v>
      </c>
      <c r="S348" s="118">
        <f t="shared" si="102"/>
        <v>0.35909698306456656</v>
      </c>
      <c r="T348" s="122">
        <f t="shared" si="103"/>
        <v>20.473860955420111</v>
      </c>
      <c r="U348" s="122">
        <f t="shared" si="104"/>
        <v>-19.00941864265257</v>
      </c>
      <c r="V348" s="122">
        <f t="shared" si="105"/>
        <v>-19.254789479624929</v>
      </c>
      <c r="W348" s="122">
        <f t="shared" si="106"/>
        <v>-17.790347166857387</v>
      </c>
      <c r="X348" s="122">
        <f>IF(OR(N348="",R348=""),NA(),10*LOG10((G348+'CMOS FOM coeff. calculation'!$Q$3)^'CMOS FOM coeff. calculation'!$P$3*(1000*E348)^'CMOS FOM coeff. calculation'!$N$3*R348^'CMOS FOM coeff. calculation'!$O$3*N348^'CMOS FOM coeff. calculation'!$M$3))</f>
        <v>11.429386101260945</v>
      </c>
      <c r="Y348" s="68"/>
      <c r="Z348" s="103" t="s">
        <v>3156</v>
      </c>
      <c r="AA348" s="3"/>
    </row>
    <row r="349" spans="1:27">
      <c r="A349" s="105" t="s">
        <v>3154</v>
      </c>
      <c r="B349" s="8" t="s">
        <v>3157</v>
      </c>
      <c r="C349" t="s">
        <v>3158</v>
      </c>
      <c r="D349" s="7" t="s">
        <v>3159</v>
      </c>
      <c r="E349" s="1">
        <v>4.4999999999999998E-2</v>
      </c>
      <c r="F349" s="1">
        <v>11</v>
      </c>
      <c r="G349" s="1">
        <v>32.5</v>
      </c>
      <c r="H349" s="1">
        <v>-8</v>
      </c>
      <c r="I349" s="1">
        <v>5.2</v>
      </c>
      <c r="J349" s="1">
        <v>-7.1</v>
      </c>
      <c r="K349" s="1">
        <v>1.9</v>
      </c>
      <c r="L349" s="1">
        <v>17.600000000000001</v>
      </c>
      <c r="M349" s="1">
        <v>1.1000000000000001</v>
      </c>
      <c r="N349" s="1">
        <v>66</v>
      </c>
      <c r="O349" s="1">
        <v>0.19</v>
      </c>
      <c r="P349" s="1">
        <v>0.59499999999999997</v>
      </c>
      <c r="Q349" s="118">
        <f t="shared" si="100"/>
        <v>2.3521875495558322</v>
      </c>
      <c r="R349" s="119">
        <f t="shared" si="101"/>
        <v>682.13438937119133</v>
      </c>
      <c r="S349" s="118">
        <f t="shared" si="102"/>
        <v>11.025200083043838</v>
      </c>
      <c r="T349" s="118">
        <f t="shared" si="103"/>
        <v>17.657809996916548</v>
      </c>
      <c r="U349" s="118">
        <f t="shared" si="104"/>
        <v>-14.186501046389131</v>
      </c>
      <c r="V349" s="118">
        <f t="shared" si="105"/>
        <v>-20.798654432244994</v>
      </c>
      <c r="W349" s="118">
        <f t="shared" si="106"/>
        <v>-17.327345481717579</v>
      </c>
      <c r="X349" s="122">
        <f>IF(OR(N349="",R349=""),NA(),10*LOG10((G349+'CMOS FOM coeff. calculation'!$Q$3)^'CMOS FOM coeff. calculation'!$P$3*(1000*E349)^'CMOS FOM coeff. calculation'!$N$3*R349^'CMOS FOM coeff. calculation'!$O$3*N349^'CMOS FOM coeff. calculation'!$M$3))</f>
        <v>15.81490783379865</v>
      </c>
      <c r="Y349" s="68"/>
      <c r="Z349" s="66" t="s">
        <v>3160</v>
      </c>
      <c r="AA349" s="3"/>
    </row>
    <row r="350" spans="1:27" ht="18">
      <c r="A350" s="105" t="s">
        <v>3430</v>
      </c>
      <c r="B350" s="8" t="s">
        <v>3320</v>
      </c>
      <c r="C350" t="s">
        <v>3321</v>
      </c>
      <c r="D350" t="s">
        <v>3322</v>
      </c>
      <c r="E350" s="1">
        <v>0.04</v>
      </c>
      <c r="F350" s="1">
        <v>16</v>
      </c>
      <c r="G350" s="1">
        <v>78</v>
      </c>
      <c r="H350" s="1">
        <v>-12</v>
      </c>
      <c r="I350" s="1">
        <v>4.8</v>
      </c>
      <c r="J350" s="1">
        <v>-8.5</v>
      </c>
      <c r="L350" s="1">
        <v>16.5</v>
      </c>
      <c r="M350" s="1">
        <v>1.1000000000000001</v>
      </c>
      <c r="N350" s="1">
        <v>25</v>
      </c>
      <c r="P350" s="1">
        <v>0.08</v>
      </c>
      <c r="Q350" s="118">
        <f t="shared" si="100"/>
        <v>2.0662083638094866</v>
      </c>
      <c r="R350" s="119">
        <f t="shared" si="101"/>
        <v>599.20042550475114</v>
      </c>
      <c r="S350" s="118">
        <f t="shared" si="102"/>
        <v>6.1683196903396587</v>
      </c>
      <c r="T350" s="118">
        <f t="shared" si="103"/>
        <v>13.836777278538978</v>
      </c>
      <c r="U350" s="118">
        <f t="shared" si="104"/>
        <v>-9.8230440030192305</v>
      </c>
      <c r="V350" s="118">
        <f t="shared" si="105"/>
        <v>-17.509869707018112</v>
      </c>
      <c r="W350" s="118">
        <f t="shared" si="106"/>
        <v>-13.496136431498364</v>
      </c>
      <c r="X350" s="122">
        <f>IF(OR(N350="",R350=""),NA(),10*LOG10((G350+'CMOS FOM coeff. calculation'!$Q$3)^'CMOS FOM coeff. calculation'!$P$3*(1000*E350)^'CMOS FOM coeff. calculation'!$N$3*R350^'CMOS FOM coeff. calculation'!$O$3*N350^'CMOS FOM coeff. calculation'!$M$3))</f>
        <v>22.715009325186237</v>
      </c>
      <c r="Y350" s="68"/>
      <c r="Z350" s="66" t="s">
        <v>3323</v>
      </c>
      <c r="AA350" s="3"/>
    </row>
    <row r="351" spans="1:27">
      <c r="A351" s="105" t="s">
        <v>3862</v>
      </c>
      <c r="B351" s="8" t="s">
        <v>3863</v>
      </c>
      <c r="C351" t="s">
        <v>3864</v>
      </c>
      <c r="D351" s="7" t="s">
        <v>3865</v>
      </c>
      <c r="E351" s="1">
        <v>6.5000000000000002E-2</v>
      </c>
      <c r="F351" s="1">
        <v>8.4</v>
      </c>
      <c r="G351" s="1">
        <v>27.2</v>
      </c>
      <c r="H351" s="1">
        <v>-5</v>
      </c>
      <c r="I351" s="1">
        <v>2.5</v>
      </c>
      <c r="J351" s="1">
        <v>-9.3000000000000007</v>
      </c>
      <c r="K351" s="1">
        <v>-2.5</v>
      </c>
      <c r="L351" s="1">
        <v>18.399999999999999</v>
      </c>
      <c r="M351" s="1">
        <v>1.2</v>
      </c>
      <c r="N351" s="1">
        <v>14.6</v>
      </c>
      <c r="P351" s="1">
        <v>1</v>
      </c>
      <c r="Q351" s="118">
        <f t="shared" si="100"/>
        <v>0.78969396061279906</v>
      </c>
      <c r="R351" s="119">
        <f t="shared" si="101"/>
        <v>229.01124857771174</v>
      </c>
      <c r="S351" s="118">
        <f t="shared" si="102"/>
        <v>8.0108154061470369</v>
      </c>
      <c r="T351" s="118">
        <f t="shared" si="103"/>
        <v>9.119793570288115</v>
      </c>
      <c r="U351" s="118">
        <f t="shared" si="104"/>
        <v>-6.03886261674851</v>
      </c>
      <c r="V351" s="118">
        <f t="shared" si="105"/>
        <v>-10.813654877260726</v>
      </c>
      <c r="W351" s="118">
        <f t="shared" si="106"/>
        <v>-7.7327239237211209</v>
      </c>
      <c r="X351" s="122">
        <f>IF(OR(N351="",R351=""),NA(),10*LOG10((G351+'CMOS FOM coeff. calculation'!$Q$3)^'CMOS FOM coeff. calculation'!$P$3*(1000*E351)^'CMOS FOM coeff. calculation'!$N$3*R351^'CMOS FOM coeff. calculation'!$O$3*N351^'CMOS FOM coeff. calculation'!$M$3))</f>
        <v>21.462983276433039</v>
      </c>
      <c r="Y351" s="68"/>
      <c r="Z351" s="66" t="s">
        <v>3866</v>
      </c>
      <c r="AA351" s="3"/>
    </row>
    <row r="352" spans="1:27">
      <c r="A352" s="105"/>
      <c r="B352" s="8"/>
      <c r="D352" s="7"/>
      <c r="Q352" s="118"/>
      <c r="X352" s="122"/>
      <c r="Y352" s="68"/>
      <c r="Z352" s="66"/>
      <c r="AA352" s="3"/>
    </row>
    <row r="353" spans="1:27">
      <c r="A353" s="54" t="s">
        <v>845</v>
      </c>
      <c r="B353" s="54"/>
      <c r="C353" s="54"/>
      <c r="D353" s="54"/>
      <c r="E353" s="95"/>
      <c r="F353" s="95"/>
      <c r="G353" s="95"/>
      <c r="H353" s="95"/>
      <c r="I353" s="95"/>
      <c r="J353" s="95"/>
      <c r="K353" s="95"/>
      <c r="L353" s="95"/>
      <c r="M353" s="95"/>
      <c r="N353" s="95"/>
      <c r="O353" s="95"/>
      <c r="P353" s="95"/>
      <c r="Q353" s="115"/>
      <c r="R353" s="115"/>
      <c r="S353" s="115"/>
      <c r="T353" s="115"/>
      <c r="U353" s="115"/>
      <c r="V353" s="115"/>
      <c r="W353" s="115"/>
      <c r="X353" s="115"/>
      <c r="Y353" s="54"/>
      <c r="Z353" s="54"/>
    </row>
    <row r="354" spans="1:27">
      <c r="A354" t="s">
        <v>846</v>
      </c>
      <c r="B354" s="8" t="s">
        <v>847</v>
      </c>
      <c r="C354" t="s">
        <v>848</v>
      </c>
      <c r="D354" s="7" t="s">
        <v>850</v>
      </c>
      <c r="E354" s="1">
        <v>0.09</v>
      </c>
      <c r="F354" s="1">
        <v>6</v>
      </c>
      <c r="G354" s="1">
        <v>59</v>
      </c>
      <c r="H354" s="1">
        <v>-10</v>
      </c>
      <c r="I354" s="1">
        <v>4.4000000000000004</v>
      </c>
      <c r="J354" s="1">
        <v>-18</v>
      </c>
      <c r="L354" s="1">
        <v>15</v>
      </c>
      <c r="M354" s="1">
        <v>1.3</v>
      </c>
      <c r="N354" s="1">
        <v>3.9</v>
      </c>
      <c r="O354" s="1">
        <v>3.78E-2</v>
      </c>
      <c r="P354" s="1">
        <v>0.14000000000000001</v>
      </c>
      <c r="Q354" s="118">
        <f t="shared" ref="Q354:Q385" si="107">IF(OR(I354="",L354=""),"",(10^(I354/10)-1)*10^(L354/10)/(10^(L354/10)-1))</f>
        <v>1.8115137995316231</v>
      </c>
      <c r="R354" s="119">
        <f t="shared" ref="R354:R385" si="108">IF(Q354="","",290*Q354)</f>
        <v>525.33900186417065</v>
      </c>
      <c r="S354" s="118">
        <f t="shared" ref="S354:S385" si="109">IF(OR(J354="",L354=""),"",10^(J354/10)*(10^(L354/10)-1))</f>
        <v>0.48533830170266096</v>
      </c>
      <c r="T354" s="118">
        <f t="shared" ref="T354:T385" si="110">IF(OR(Q354="",N354="",E354="",G354=""),NA(),10*LOG10(Q354*N354^(1/3)*E354^(-4/3)*G354^(-2/3)))</f>
        <v>6.6883849536098658</v>
      </c>
      <c r="U354" s="118">
        <f t="shared" ref="U354:U385" si="111">IF(OR(ISNA(T354),F354=""),NA(),10*LOG10(F354^(1/3))-T354)</f>
        <v>-4.094547452331053</v>
      </c>
      <c r="V354" s="118">
        <f t="shared" ref="V354:V385" si="112">IF(OR(ISNA(T354),S354=""),NA(),10*LOG10(S354^(1/3)*E354*G354^(1/3)/Q354/N354^(2/3)))</f>
        <v>-12.122100160243281</v>
      </c>
      <c r="W354" s="118">
        <f t="shared" ref="W354:W385" si="113">IF(OR(ISNA(V354),F354=""),NA(),V354+10*LOG10(F354^(1/3)))</f>
        <v>-9.5282626589644686</v>
      </c>
      <c r="X354" s="118">
        <f>IF(OR(N354="",R354=""),NA(),10*LOG10((G354+'CMOS FOM coeff. calculation'!$Q$3)^'CMOS FOM coeff. calculation'!$P$3*(1000*E354)^'CMOS FOM coeff. calculation'!$N$3*R354^'CMOS FOM coeff. calculation'!$O$3*N354^'CMOS FOM coeff. calculation'!$M$3))</f>
        <v>25.303833171805358</v>
      </c>
      <c r="Y354" s="68"/>
      <c r="Z354" t="s">
        <v>849</v>
      </c>
      <c r="AA354" s="3" t="s">
        <v>5</v>
      </c>
    </row>
    <row r="355" spans="1:27">
      <c r="A355" t="s">
        <v>846</v>
      </c>
      <c r="B355" s="8" t="s">
        <v>852</v>
      </c>
      <c r="C355" t="s">
        <v>853</v>
      </c>
      <c r="D355" s="7" t="s">
        <v>851</v>
      </c>
      <c r="E355" s="1">
        <v>0.18</v>
      </c>
      <c r="G355" s="1">
        <v>2</v>
      </c>
      <c r="I355" s="1">
        <v>1.68</v>
      </c>
      <c r="K355" s="1">
        <v>10.199999999999999</v>
      </c>
      <c r="L355" s="1">
        <v>13.7</v>
      </c>
      <c r="M355" s="1">
        <v>1.8</v>
      </c>
      <c r="N355" s="1">
        <v>21.24</v>
      </c>
      <c r="Q355" s="118">
        <f t="shared" si="107"/>
        <v>0.49335815068429384</v>
      </c>
      <c r="R355" s="119">
        <f t="shared" si="108"/>
        <v>143.07386369844522</v>
      </c>
      <c r="S355" s="118" t="str">
        <f t="shared" si="109"/>
        <v/>
      </c>
      <c r="T355" s="118">
        <f t="shared" si="110"/>
        <v>9.2783047439070252</v>
      </c>
      <c r="U355" s="118" t="e">
        <f t="shared" si="111"/>
        <v>#N/A</v>
      </c>
      <c r="V355" s="118" t="e">
        <f t="shared" si="112"/>
        <v>#N/A</v>
      </c>
      <c r="W355" s="118" t="e">
        <f t="shared" si="113"/>
        <v>#N/A</v>
      </c>
      <c r="X355" s="118">
        <f>IF(OR(N355="",R355=""),NA(),10*LOG10((G355+'CMOS FOM coeff. calculation'!$Q$3)^'CMOS FOM coeff. calculation'!$P$3*(1000*E355)^'CMOS FOM coeff. calculation'!$N$3*R355^'CMOS FOM coeff. calculation'!$O$3*N355^'CMOS FOM coeff. calculation'!$M$3))</f>
        <v>17.922856053154707</v>
      </c>
      <c r="Y355" s="68"/>
      <c r="Z355" t="s">
        <v>854</v>
      </c>
      <c r="AA355" s="3" t="s">
        <v>5</v>
      </c>
    </row>
    <row r="356" spans="1:27">
      <c r="A356" t="s">
        <v>846</v>
      </c>
      <c r="B356" s="8" t="s">
        <v>855</v>
      </c>
      <c r="C356" t="s">
        <v>857</v>
      </c>
      <c r="D356" s="7" t="s">
        <v>856</v>
      </c>
      <c r="E356" s="1">
        <v>0.13</v>
      </c>
      <c r="F356" s="1">
        <v>1.6</v>
      </c>
      <c r="G356" s="1">
        <v>5.2</v>
      </c>
      <c r="H356" s="1">
        <v>-10</v>
      </c>
      <c r="I356" s="1">
        <v>1.55</v>
      </c>
      <c r="L356" s="1">
        <v>12</v>
      </c>
      <c r="N356" s="1">
        <v>3.8</v>
      </c>
      <c r="Q356" s="118">
        <f t="shared" si="107"/>
        <v>0.45777778400701208</v>
      </c>
      <c r="R356" s="119">
        <f t="shared" si="108"/>
        <v>132.7555573620335</v>
      </c>
      <c r="S356" s="118" t="str">
        <f t="shared" si="109"/>
        <v/>
      </c>
      <c r="T356" s="118">
        <f t="shared" si="110"/>
        <v>5.5798921254344869</v>
      </c>
      <c r="U356" s="118">
        <f t="shared" si="111"/>
        <v>-4.8994921832480705</v>
      </c>
      <c r="V356" s="118" t="e">
        <f t="shared" si="112"/>
        <v>#N/A</v>
      </c>
      <c r="W356" s="118" t="e">
        <f t="shared" si="113"/>
        <v>#N/A</v>
      </c>
      <c r="X356" s="118">
        <f>IF(OR(N356="",R356=""),NA(),10*LOG10((G356+'CMOS FOM coeff. calculation'!$Q$3)^'CMOS FOM coeff. calculation'!$P$3*(1000*E356)^'CMOS FOM coeff. calculation'!$N$3*R356^'CMOS FOM coeff. calculation'!$O$3*N356^'CMOS FOM coeff. calculation'!$M$3))</f>
        <v>20.286596477896705</v>
      </c>
      <c r="Y356" s="68"/>
      <c r="Z356" t="s">
        <v>858</v>
      </c>
      <c r="AA356" s="3" t="s">
        <v>445</v>
      </c>
    </row>
    <row r="357" spans="1:27">
      <c r="E357" s="1">
        <v>0.13</v>
      </c>
      <c r="F357" s="1">
        <v>2.2000000000000002</v>
      </c>
      <c r="G357" s="1">
        <v>13.1</v>
      </c>
      <c r="H357" s="1">
        <v>-20</v>
      </c>
      <c r="I357" s="1">
        <v>2.1</v>
      </c>
      <c r="L357" s="1">
        <v>10.7</v>
      </c>
      <c r="N357" s="1">
        <v>5.3</v>
      </c>
      <c r="Q357" s="118">
        <f t="shared" si="107"/>
        <v>0.67965840992616</v>
      </c>
      <c r="R357" s="119">
        <f t="shared" si="108"/>
        <v>197.10093887858639</v>
      </c>
      <c r="S357" s="118" t="str">
        <f t="shared" si="109"/>
        <v/>
      </c>
      <c r="T357" s="118">
        <f t="shared" si="110"/>
        <v>5.1027731814195763</v>
      </c>
      <c r="U357" s="118">
        <f t="shared" si="111"/>
        <v>-3.9613642453455551</v>
      </c>
      <c r="V357" s="118" t="e">
        <f t="shared" si="112"/>
        <v>#N/A</v>
      </c>
      <c r="W357" s="118" t="e">
        <f t="shared" si="113"/>
        <v>#N/A</v>
      </c>
      <c r="X357" s="118">
        <f>IF(OR(N357="",R357=""),NA(),10*LOG10((G357+'CMOS FOM coeff. calculation'!$Q$3)^'CMOS FOM coeff. calculation'!$P$3*(1000*E357)^'CMOS FOM coeff. calculation'!$N$3*R357^'CMOS FOM coeff. calculation'!$O$3*N357^'CMOS FOM coeff. calculation'!$M$3))</f>
        <v>21.420106430578919</v>
      </c>
      <c r="Y357" s="68"/>
    </row>
    <row r="358" spans="1:27">
      <c r="A358" t="s">
        <v>846</v>
      </c>
      <c r="B358" s="8" t="s">
        <v>864</v>
      </c>
      <c r="C358" t="s">
        <v>866</v>
      </c>
      <c r="D358" s="7" t="s">
        <v>863</v>
      </c>
      <c r="E358" s="1">
        <v>6.5000000000000002E-2</v>
      </c>
      <c r="F358" s="1">
        <v>10</v>
      </c>
      <c r="G358" s="1">
        <v>140</v>
      </c>
      <c r="J358" s="1">
        <v>-12</v>
      </c>
      <c r="L358" s="1">
        <v>8</v>
      </c>
      <c r="M358" s="1">
        <v>1.2</v>
      </c>
      <c r="N358" s="1">
        <v>63</v>
      </c>
      <c r="Q358" s="118" t="str">
        <f t="shared" si="107"/>
        <v/>
      </c>
      <c r="R358" s="119" t="str">
        <f t="shared" si="108"/>
        <v/>
      </c>
      <c r="S358" s="118">
        <f t="shared" si="109"/>
        <v>0.33501143610547801</v>
      </c>
      <c r="T358" s="118" t="e">
        <f t="shared" si="110"/>
        <v>#N/A</v>
      </c>
      <c r="U358" s="118" t="e">
        <f t="shared" si="111"/>
        <v>#N/A</v>
      </c>
      <c r="V358" s="118" t="e">
        <f t="shared" si="112"/>
        <v>#N/A</v>
      </c>
      <c r="W358" s="118" t="e">
        <f t="shared" si="113"/>
        <v>#N/A</v>
      </c>
      <c r="X358" s="118" t="e">
        <f>IF(OR(N358="",R358=""),NA(),10*LOG10((G358+'CMOS FOM coeff. calculation'!$Q$3)^'CMOS FOM coeff. calculation'!$P$3*(1000*E358)^'CMOS FOM coeff. calculation'!$N$3*R358^'CMOS FOM coeff. calculation'!$O$3*N358^'CMOS FOM coeff. calculation'!$M$3))</f>
        <v>#N/A</v>
      </c>
      <c r="Y358" s="68"/>
      <c r="Z358" t="s">
        <v>865</v>
      </c>
      <c r="AA358" s="3" t="s">
        <v>5</v>
      </c>
    </row>
    <row r="359" spans="1:27">
      <c r="A359" t="s">
        <v>846</v>
      </c>
      <c r="B359" s="8" t="s">
        <v>868</v>
      </c>
      <c r="C359" t="s">
        <v>869</v>
      </c>
      <c r="D359" s="7" t="s">
        <v>867</v>
      </c>
      <c r="E359" s="1">
        <v>0.18</v>
      </c>
      <c r="F359" s="1">
        <v>4.2</v>
      </c>
      <c r="G359" s="1">
        <v>24.4</v>
      </c>
      <c r="H359" s="1">
        <v>-2.5</v>
      </c>
      <c r="I359" s="1">
        <v>3.3</v>
      </c>
      <c r="L359" s="1">
        <v>12.8</v>
      </c>
      <c r="M359" s="1">
        <v>1</v>
      </c>
      <c r="N359" s="1">
        <v>8</v>
      </c>
      <c r="P359" s="1">
        <v>0.55000000000000004</v>
      </c>
      <c r="Q359" s="118">
        <f t="shared" si="107"/>
        <v>1.2009909927721951</v>
      </c>
      <c r="R359" s="119">
        <f t="shared" si="108"/>
        <v>348.28738790393658</v>
      </c>
      <c r="S359" s="118" t="str">
        <f t="shared" si="109"/>
        <v/>
      </c>
      <c r="T359" s="118">
        <f t="shared" si="110"/>
        <v>4.4861318824759335</v>
      </c>
      <c r="U359" s="118">
        <f t="shared" si="111"/>
        <v>-2.4086342478162655</v>
      </c>
      <c r="V359" s="118" t="e">
        <f t="shared" si="112"/>
        <v>#N/A</v>
      </c>
      <c r="W359" s="118" t="e">
        <f t="shared" si="113"/>
        <v>#N/A</v>
      </c>
      <c r="X359" s="118">
        <f>IF(OR(N359="",R359=""),NA(),10*LOG10((G359+'CMOS FOM coeff. calculation'!$Q$3)^'CMOS FOM coeff. calculation'!$P$3*(1000*E359)^'CMOS FOM coeff. calculation'!$N$3*R359^'CMOS FOM coeff. calculation'!$O$3*N359^'CMOS FOM coeff. calculation'!$M$3))</f>
        <v>22.835033921559184</v>
      </c>
      <c r="Y359" s="68"/>
      <c r="Z359" t="s">
        <v>870</v>
      </c>
      <c r="AA359" s="3" t="s">
        <v>5</v>
      </c>
    </row>
    <row r="360" spans="1:27">
      <c r="A360" t="s">
        <v>846</v>
      </c>
      <c r="B360" s="8" t="s">
        <v>871</v>
      </c>
      <c r="C360" t="s">
        <v>874</v>
      </c>
      <c r="D360" s="7" t="s">
        <v>872</v>
      </c>
      <c r="E360" s="1">
        <v>0.09</v>
      </c>
      <c r="F360" s="1">
        <v>10.8</v>
      </c>
      <c r="G360" s="1">
        <v>8.5</v>
      </c>
      <c r="H360" s="1">
        <v>-10</v>
      </c>
      <c r="I360" s="1">
        <v>2.7</v>
      </c>
      <c r="K360" s="1">
        <v>-3.5</v>
      </c>
      <c r="L360" s="1">
        <v>12.3</v>
      </c>
      <c r="M360" s="1">
        <v>1</v>
      </c>
      <c r="N360" s="1">
        <v>2.5</v>
      </c>
      <c r="O360" s="1">
        <v>0.1</v>
      </c>
      <c r="Q360" s="118">
        <f t="shared" si="107"/>
        <v>0.9160267931936481</v>
      </c>
      <c r="R360" s="119">
        <f t="shared" si="108"/>
        <v>265.64777002615796</v>
      </c>
      <c r="S360" s="118" t="str">
        <f t="shared" si="109"/>
        <v/>
      </c>
      <c r="T360" s="118">
        <f t="shared" si="110"/>
        <v>8.6928554984952751</v>
      </c>
      <c r="U360" s="118">
        <f t="shared" si="111"/>
        <v>-5.2481096468721091</v>
      </c>
      <c r="V360" s="118" t="e">
        <f t="shared" si="112"/>
        <v>#N/A</v>
      </c>
      <c r="W360" s="118" t="e">
        <f t="shared" si="113"/>
        <v>#N/A</v>
      </c>
      <c r="X360" s="118">
        <f>IF(OR(N360="",R360=""),NA(),10*LOG10((G360+'CMOS FOM coeff. calculation'!$Q$3)^'CMOS FOM coeff. calculation'!$P$3*(1000*E360)^'CMOS FOM coeff. calculation'!$N$3*R360^'CMOS FOM coeff. calculation'!$O$3*N360^'CMOS FOM coeff. calculation'!$M$3))</f>
        <v>18.185579121315762</v>
      </c>
      <c r="Y360" s="68"/>
      <c r="Z360" t="s">
        <v>873</v>
      </c>
      <c r="AA360" s="3" t="s">
        <v>5</v>
      </c>
    </row>
    <row r="361" spans="1:27">
      <c r="A361" t="s">
        <v>846</v>
      </c>
      <c r="B361" s="8" t="s">
        <v>876</v>
      </c>
      <c r="C361" t="s">
        <v>877</v>
      </c>
      <c r="D361" s="7" t="s">
        <v>875</v>
      </c>
      <c r="E361" s="1">
        <v>0.09</v>
      </c>
      <c r="F361" s="1">
        <v>3</v>
      </c>
      <c r="G361" s="1">
        <v>3.5</v>
      </c>
      <c r="H361" s="1">
        <v>-7.5</v>
      </c>
      <c r="I361" s="1">
        <v>2.5</v>
      </c>
      <c r="K361" s="1">
        <v>-8</v>
      </c>
      <c r="L361" s="1">
        <v>17</v>
      </c>
      <c r="M361" s="1">
        <v>1.2</v>
      </c>
      <c r="N361" s="1">
        <v>19</v>
      </c>
      <c r="O361" s="1">
        <v>0.52500000000000002</v>
      </c>
      <c r="Q361" s="118">
        <f t="shared" si="107"/>
        <v>0.7941242723797366</v>
      </c>
      <c r="R361" s="119">
        <f t="shared" si="108"/>
        <v>230.29603899012361</v>
      </c>
      <c r="S361" s="118" t="str">
        <f t="shared" si="109"/>
        <v/>
      </c>
      <c r="T361" s="118">
        <f t="shared" si="110"/>
        <v>13.577709619173755</v>
      </c>
      <c r="U361" s="118">
        <f t="shared" si="111"/>
        <v>-11.98730543677488</v>
      </c>
      <c r="V361" s="118" t="e">
        <f t="shared" si="112"/>
        <v>#N/A</v>
      </c>
      <c r="W361" s="118" t="e">
        <f t="shared" si="113"/>
        <v>#N/A</v>
      </c>
      <c r="X361" s="118">
        <f>IF(OR(N361="",R361=""),NA(),10*LOG10((G361+'CMOS FOM coeff. calculation'!$Q$3)^'CMOS FOM coeff. calculation'!$P$3*(1000*E361)^'CMOS FOM coeff. calculation'!$N$3*R361^'CMOS FOM coeff. calculation'!$O$3*N361^'CMOS FOM coeff. calculation'!$M$3))</f>
        <v>14.821077476543698</v>
      </c>
      <c r="Y361" s="68"/>
      <c r="Z361" t="s">
        <v>878</v>
      </c>
      <c r="AA361" s="3" t="s">
        <v>5</v>
      </c>
    </row>
    <row r="362" spans="1:27">
      <c r="A362" t="s">
        <v>846</v>
      </c>
      <c r="B362" s="8" t="s">
        <v>880</v>
      </c>
      <c r="C362" t="s">
        <v>882</v>
      </c>
      <c r="D362" s="7" t="s">
        <v>879</v>
      </c>
      <c r="E362" s="1">
        <v>0.13</v>
      </c>
      <c r="F362" s="1">
        <v>10.8</v>
      </c>
      <c r="G362" s="1">
        <v>6.7</v>
      </c>
      <c r="H362" s="1">
        <v>-10</v>
      </c>
      <c r="I362" s="1">
        <v>2.5</v>
      </c>
      <c r="J362" s="1">
        <v>-14</v>
      </c>
      <c r="K362" s="1">
        <v>-4</v>
      </c>
      <c r="L362" s="1">
        <v>7.92</v>
      </c>
      <c r="M362" s="1">
        <v>1.2</v>
      </c>
      <c r="N362" s="1">
        <v>10.68</v>
      </c>
      <c r="O362" s="1">
        <v>0.435</v>
      </c>
      <c r="Q362" s="118">
        <f t="shared" si="107"/>
        <v>0.92810957314719866</v>
      </c>
      <c r="R362" s="119">
        <f t="shared" si="108"/>
        <v>269.15177621268759</v>
      </c>
      <c r="S362" s="118">
        <f t="shared" si="109"/>
        <v>0.20679321666808428</v>
      </c>
      <c r="T362" s="118">
        <f t="shared" si="110"/>
        <v>9.4114866498861254</v>
      </c>
      <c r="U362" s="118">
        <f t="shared" si="111"/>
        <v>-5.9667407982629594</v>
      </c>
      <c r="V362" s="118">
        <f t="shared" si="112"/>
        <v>-14.921663713166083</v>
      </c>
      <c r="W362" s="118">
        <f t="shared" si="113"/>
        <v>-11.476917861542917</v>
      </c>
      <c r="X362" s="118">
        <f>IF(OR(N362="",R362=""),NA(),10*LOG10((G362+'CMOS FOM coeff. calculation'!$Q$3)^'CMOS FOM coeff. calculation'!$P$3*(1000*E362)^'CMOS FOM coeff. calculation'!$N$3*R362^'CMOS FOM coeff. calculation'!$O$3*N362^'CMOS FOM coeff. calculation'!$M$3))</f>
        <v>17.273411431186357</v>
      </c>
      <c r="Y362" s="68"/>
      <c r="Z362" t="s">
        <v>881</v>
      </c>
      <c r="AA362" s="3" t="s">
        <v>5</v>
      </c>
    </row>
    <row r="363" spans="1:27">
      <c r="A363" t="s">
        <v>846</v>
      </c>
      <c r="B363" s="8" t="s">
        <v>883</v>
      </c>
      <c r="C363" t="s">
        <v>885</v>
      </c>
      <c r="D363" s="7" t="s">
        <v>884</v>
      </c>
      <c r="E363" s="1">
        <v>0.13</v>
      </c>
      <c r="F363" s="1">
        <v>6.8</v>
      </c>
      <c r="G363" s="1">
        <v>5.6</v>
      </c>
      <c r="H363" s="1">
        <v>-9.1999999999999993</v>
      </c>
      <c r="I363" s="1">
        <v>3.9</v>
      </c>
      <c r="K363" s="1">
        <v>3.5</v>
      </c>
      <c r="L363" s="1">
        <v>11.3</v>
      </c>
      <c r="M363" s="1">
        <v>1.2</v>
      </c>
      <c r="N363" s="1">
        <v>30</v>
      </c>
      <c r="P363" s="1">
        <v>0.68400000000000005</v>
      </c>
      <c r="Q363" s="118">
        <f t="shared" si="107"/>
        <v>1.5711822661713513</v>
      </c>
      <c r="R363" s="119">
        <f t="shared" si="108"/>
        <v>455.64285718969188</v>
      </c>
      <c r="S363" s="118" t="str">
        <f t="shared" si="109"/>
        <v/>
      </c>
      <c r="T363" s="118">
        <f t="shared" si="110"/>
        <v>13.712171657778782</v>
      </c>
      <c r="U363" s="118">
        <f t="shared" si="111"/>
        <v>-10.937141948757994</v>
      </c>
      <c r="V363" s="118" t="e">
        <f t="shared" si="112"/>
        <v>#N/A</v>
      </c>
      <c r="W363" s="118" t="e">
        <f t="shared" si="113"/>
        <v>#N/A</v>
      </c>
      <c r="X363" s="118">
        <f>IF(OR(N363="",R363=""),NA(),10*LOG10((G363+'CMOS FOM coeff. calculation'!$Q$3)^'CMOS FOM coeff. calculation'!$P$3*(1000*E363)^'CMOS FOM coeff. calculation'!$N$3*R363^'CMOS FOM coeff. calculation'!$O$3*N363^'CMOS FOM coeff. calculation'!$M$3))</f>
        <v>13.849043663287384</v>
      </c>
      <c r="Y363" s="68"/>
      <c r="Z363" t="s">
        <v>886</v>
      </c>
      <c r="AA363" s="3" t="s">
        <v>5</v>
      </c>
    </row>
    <row r="364" spans="1:27">
      <c r="A364" t="s">
        <v>891</v>
      </c>
      <c r="B364" s="8" t="s">
        <v>893</v>
      </c>
      <c r="C364" t="s">
        <v>894</v>
      </c>
      <c r="D364" s="7" t="s">
        <v>892</v>
      </c>
      <c r="E364" s="1">
        <v>0.13</v>
      </c>
      <c r="F364" s="1">
        <v>5.0999999999999996</v>
      </c>
      <c r="G364" s="1">
        <v>3.05</v>
      </c>
      <c r="H364" s="1">
        <v>-15</v>
      </c>
      <c r="I364" s="1">
        <v>3.6</v>
      </c>
      <c r="K364" s="1">
        <v>-24</v>
      </c>
      <c r="L364" s="1">
        <v>30</v>
      </c>
      <c r="M364" s="1">
        <v>1.2</v>
      </c>
      <c r="N364" s="1">
        <v>19</v>
      </c>
      <c r="P364" s="1">
        <v>0.73</v>
      </c>
      <c r="Q364" s="118">
        <f t="shared" si="107"/>
        <v>1.2921598125803535</v>
      </c>
      <c r="R364" s="119">
        <f t="shared" si="108"/>
        <v>374.72634564830253</v>
      </c>
      <c r="S364" s="118" t="str">
        <f t="shared" si="109"/>
        <v/>
      </c>
      <c r="T364" s="118">
        <f t="shared" si="110"/>
        <v>13.961097342798203</v>
      </c>
      <c r="U364" s="118">
        <f t="shared" si="111"/>
        <v>-11.602530089138416</v>
      </c>
      <c r="V364" s="118" t="e">
        <f t="shared" si="112"/>
        <v>#N/A</v>
      </c>
      <c r="W364" s="118" t="e">
        <f t="shared" si="113"/>
        <v>#N/A</v>
      </c>
      <c r="X364" s="118">
        <f>IF(OR(N364="",R364=""),NA(),10*LOG10((G364+'CMOS FOM coeff. calculation'!$Q$3)^'CMOS FOM coeff. calculation'!$P$3*(1000*E364)^'CMOS FOM coeff. calculation'!$N$3*R364^'CMOS FOM coeff. calculation'!$O$3*N364^'CMOS FOM coeff. calculation'!$M$3))</f>
        <v>13.812450201914801</v>
      </c>
      <c r="Y364" s="68"/>
      <c r="Z364" t="s">
        <v>895</v>
      </c>
      <c r="AA364" s="3" t="s">
        <v>5</v>
      </c>
    </row>
    <row r="365" spans="1:27">
      <c r="A365" t="s">
        <v>891</v>
      </c>
      <c r="B365" s="8" t="s">
        <v>896</v>
      </c>
      <c r="C365" t="s">
        <v>898</v>
      </c>
      <c r="D365" s="7" t="s">
        <v>897</v>
      </c>
      <c r="E365" s="1">
        <v>0.09</v>
      </c>
      <c r="F365" s="1">
        <v>22</v>
      </c>
      <c r="G365" s="1">
        <v>11</v>
      </c>
      <c r="H365" s="1">
        <v>-10</v>
      </c>
      <c r="I365" s="1">
        <v>4.3</v>
      </c>
      <c r="K365" s="1">
        <v>-2.67</v>
      </c>
      <c r="L365" s="1">
        <v>10.7</v>
      </c>
      <c r="M365" s="1">
        <v>1.2</v>
      </c>
      <c r="N365" s="1">
        <v>8.4</v>
      </c>
      <c r="O365" s="1">
        <v>1.7000000000000001E-2</v>
      </c>
      <c r="P365" s="1">
        <v>0.13</v>
      </c>
      <c r="Q365" s="118">
        <f t="shared" si="107"/>
        <v>1.8489018754356124</v>
      </c>
      <c r="R365" s="119">
        <f t="shared" si="108"/>
        <v>536.18154387632762</v>
      </c>
      <c r="S365" s="118" t="str">
        <f t="shared" si="109"/>
        <v/>
      </c>
      <c r="T365" s="118">
        <f t="shared" si="110"/>
        <v>12.750884889736815</v>
      </c>
      <c r="U365" s="118">
        <f t="shared" si="111"/>
        <v>-8.2761426203294608</v>
      </c>
      <c r="V365" s="118" t="e">
        <f t="shared" si="112"/>
        <v>#N/A</v>
      </c>
      <c r="W365" s="118" t="e">
        <f t="shared" si="113"/>
        <v>#N/A</v>
      </c>
      <c r="X365" s="118">
        <f>IF(OR(N365="",R365=""),NA(),10*LOG10((G365+'CMOS FOM coeff. calculation'!$Q$3)^'CMOS FOM coeff. calculation'!$P$3*(1000*E365)^'CMOS FOM coeff. calculation'!$N$3*R365^'CMOS FOM coeff. calculation'!$O$3*N365^'CMOS FOM coeff. calculation'!$M$3))</f>
        <v>15.29534306169305</v>
      </c>
      <c r="Y365" s="68"/>
      <c r="Z365" t="s">
        <v>899</v>
      </c>
      <c r="AA365" s="3" t="s">
        <v>5</v>
      </c>
    </row>
    <row r="366" spans="1:27">
      <c r="A366" t="s">
        <v>891</v>
      </c>
      <c r="B366" s="8" t="s">
        <v>900</v>
      </c>
      <c r="C366" t="s">
        <v>902</v>
      </c>
      <c r="D366" s="7" t="s">
        <v>901</v>
      </c>
      <c r="E366" s="1">
        <v>6.5000000000000002E-2</v>
      </c>
      <c r="G366" s="1">
        <v>1.6850000000000001</v>
      </c>
      <c r="I366" s="1">
        <v>4</v>
      </c>
      <c r="K366" s="1">
        <v>-12.86</v>
      </c>
      <c r="L366" s="1">
        <v>22.4</v>
      </c>
      <c r="M366" s="1">
        <v>1.3</v>
      </c>
      <c r="N366" s="1">
        <v>21.58</v>
      </c>
      <c r="P366" s="1">
        <v>0.39</v>
      </c>
      <c r="Q366" s="118">
        <f t="shared" si="107"/>
        <v>1.5206367828599958</v>
      </c>
      <c r="R366" s="119">
        <f t="shared" si="108"/>
        <v>440.98466702939879</v>
      </c>
      <c r="S366" s="118" t="str">
        <f t="shared" si="109"/>
        <v/>
      </c>
      <c r="T366" s="118">
        <f t="shared" si="110"/>
        <v>20.584248925977768</v>
      </c>
      <c r="U366" s="118" t="e">
        <f t="shared" si="111"/>
        <v>#N/A</v>
      </c>
      <c r="V366" s="118" t="e">
        <f t="shared" si="112"/>
        <v>#N/A</v>
      </c>
      <c r="W366" s="118" t="e">
        <f t="shared" si="113"/>
        <v>#N/A</v>
      </c>
      <c r="X366" s="118">
        <f>IF(OR(N366="",R366=""),NA(),10*LOG10((G366+'CMOS FOM coeff. calculation'!$Q$3)^'CMOS FOM coeff. calculation'!$P$3*(1000*E366)^'CMOS FOM coeff. calculation'!$N$3*R366^'CMOS FOM coeff. calculation'!$O$3*N366^'CMOS FOM coeff. calculation'!$M$3))</f>
        <v>10.242223594681199</v>
      </c>
      <c r="Y366" s="68"/>
      <c r="Z366" t="s">
        <v>903</v>
      </c>
      <c r="AA366" s="3" t="s">
        <v>5</v>
      </c>
    </row>
    <row r="367" spans="1:27">
      <c r="A367" t="s">
        <v>891</v>
      </c>
      <c r="B367" s="8" t="s">
        <v>905</v>
      </c>
      <c r="C367" t="s">
        <v>907</v>
      </c>
      <c r="D367" s="7" t="s">
        <v>904</v>
      </c>
      <c r="E367" s="1">
        <v>0.13</v>
      </c>
      <c r="F367" s="1">
        <v>2.1</v>
      </c>
      <c r="G367" s="1">
        <v>23.95</v>
      </c>
      <c r="H367" s="1">
        <v>-10</v>
      </c>
      <c r="I367" s="1">
        <v>4.3</v>
      </c>
      <c r="J367" s="1">
        <v>-10.7</v>
      </c>
      <c r="L367" s="1">
        <v>14.7</v>
      </c>
      <c r="M367" s="1">
        <v>1.5</v>
      </c>
      <c r="N367" s="1">
        <v>20.2</v>
      </c>
      <c r="O367" s="1">
        <v>0.82799999999999996</v>
      </c>
      <c r="Q367" s="118">
        <f t="shared" si="107"/>
        <v>1.7508617304851837</v>
      </c>
      <c r="R367" s="119">
        <f t="shared" si="108"/>
        <v>507.74990184070327</v>
      </c>
      <c r="S367" s="118">
        <f t="shared" si="109"/>
        <v>2.4267726276893429</v>
      </c>
      <c r="T367" s="118">
        <f t="shared" si="110"/>
        <v>9.4024082512519591</v>
      </c>
      <c r="U367" s="118">
        <f t="shared" si="111"/>
        <v>-8.328343935472228</v>
      </c>
      <c r="V367" s="118">
        <f t="shared" si="112"/>
        <v>-14.114312090400924</v>
      </c>
      <c r="W367" s="118">
        <f t="shared" si="113"/>
        <v>-13.040247774621193</v>
      </c>
      <c r="X367" s="118">
        <f>IF(OR(N367="",R367=""),NA(),10*LOG10((G367+'CMOS FOM coeff. calculation'!$Q$3)^'CMOS FOM coeff. calculation'!$P$3*(1000*E367)^'CMOS FOM coeff. calculation'!$N$3*R367^'CMOS FOM coeff. calculation'!$O$3*N367^'CMOS FOM coeff. calculation'!$M$3))</f>
        <v>19.465942940009565</v>
      </c>
      <c r="Y367" s="68"/>
      <c r="Z367" t="s">
        <v>906</v>
      </c>
      <c r="AA367" s="3" t="s">
        <v>5</v>
      </c>
    </row>
    <row r="368" spans="1:27">
      <c r="A368" t="s">
        <v>891</v>
      </c>
      <c r="B368" s="8" t="s">
        <v>913</v>
      </c>
      <c r="C368" t="s">
        <v>914</v>
      </c>
      <c r="D368" s="7" t="s">
        <v>912</v>
      </c>
      <c r="E368" s="1">
        <v>0.18</v>
      </c>
      <c r="F368" s="1">
        <v>0.81200000000000006</v>
      </c>
      <c r="G368" s="1">
        <v>0.45400000000000001</v>
      </c>
      <c r="H368" s="1">
        <v>-8</v>
      </c>
      <c r="I368" s="1">
        <v>2.4</v>
      </c>
      <c r="K368" s="1">
        <v>-2</v>
      </c>
      <c r="L368" s="1">
        <v>19.5</v>
      </c>
      <c r="M368" s="1">
        <v>1.8</v>
      </c>
      <c r="N368" s="1">
        <v>35</v>
      </c>
      <c r="O368" s="1">
        <v>4.2000000000000003E-2</v>
      </c>
      <c r="Q368" s="118">
        <f t="shared" si="107"/>
        <v>0.74617302782256845</v>
      </c>
      <c r="R368" s="119">
        <f t="shared" si="108"/>
        <v>216.39017806854486</v>
      </c>
      <c r="S368" s="118" t="str">
        <f t="shared" si="109"/>
        <v/>
      </c>
      <c r="T368" s="118">
        <f t="shared" si="110"/>
        <v>16.091283191349387</v>
      </c>
      <c r="U368" s="118">
        <f t="shared" si="111"/>
        <v>-16.392763093878802</v>
      </c>
      <c r="V368" s="118" t="e">
        <f t="shared" si="112"/>
        <v>#N/A</v>
      </c>
      <c r="W368" s="118" t="e">
        <f t="shared" si="113"/>
        <v>#N/A</v>
      </c>
      <c r="X368" s="118">
        <f>IF(OR(N368="",R368=""),NA(),10*LOG10((G368+'CMOS FOM coeff. calculation'!$Q$3)^'CMOS FOM coeff. calculation'!$P$3*(1000*E368)^'CMOS FOM coeff. calculation'!$N$3*R368^'CMOS FOM coeff. calculation'!$O$3*N368^'CMOS FOM coeff. calculation'!$M$3))</f>
        <v>15.000757292445799</v>
      </c>
      <c r="Y368" s="68"/>
      <c r="Z368" t="s">
        <v>915</v>
      </c>
      <c r="AA368" s="3" t="s">
        <v>5</v>
      </c>
    </row>
    <row r="369" spans="1:27">
      <c r="A369" t="s">
        <v>917</v>
      </c>
      <c r="B369" s="8" t="s">
        <v>916</v>
      </c>
      <c r="C369" t="s">
        <v>919</v>
      </c>
      <c r="D369" s="7" t="s">
        <v>918</v>
      </c>
      <c r="E369" s="1">
        <v>0.13</v>
      </c>
      <c r="F369" s="1">
        <v>3.7</v>
      </c>
      <c r="G369" s="1">
        <v>4.1500000000000004</v>
      </c>
      <c r="H369" s="1">
        <v>-6</v>
      </c>
      <c r="I369" s="1">
        <v>4.8</v>
      </c>
      <c r="K369" s="1">
        <v>10.6</v>
      </c>
      <c r="L369" s="1">
        <v>12.7</v>
      </c>
      <c r="M369" s="1">
        <v>1.2</v>
      </c>
      <c r="N369" s="1">
        <v>8.3000000000000007</v>
      </c>
      <c r="Q369" s="118">
        <f t="shared" si="107"/>
        <v>2.1345857630877547</v>
      </c>
      <c r="R369" s="119">
        <f t="shared" si="108"/>
        <v>619.02987129544886</v>
      </c>
      <c r="S369" s="118" t="str">
        <f t="shared" si="109"/>
        <v/>
      </c>
      <c r="T369" s="118">
        <f t="shared" si="110"/>
        <v>14.050497717548744</v>
      </c>
      <c r="U369" s="118">
        <f t="shared" si="111"/>
        <v>-12.15649197065876</v>
      </c>
      <c r="V369" s="118" t="e">
        <f t="shared" si="112"/>
        <v>#N/A</v>
      </c>
      <c r="W369" s="118" t="e">
        <f t="shared" si="113"/>
        <v>#N/A</v>
      </c>
      <c r="X369" s="118">
        <f>IF(OR(N369="",R369=""),NA(),10*LOG10((G369+'CMOS FOM coeff. calculation'!$Q$3)^'CMOS FOM coeff. calculation'!$P$3*(1000*E369)^'CMOS FOM coeff. calculation'!$N$3*R369^'CMOS FOM coeff. calculation'!$O$3*N369^'CMOS FOM coeff. calculation'!$M$3))</f>
        <v>13.10676419544702</v>
      </c>
      <c r="Y369" s="68"/>
      <c r="Z369" t="s">
        <v>920</v>
      </c>
      <c r="AA369" s="3" t="s">
        <v>445</v>
      </c>
    </row>
    <row r="370" spans="1:27">
      <c r="E370" s="1">
        <v>0.13</v>
      </c>
      <c r="F370" s="1">
        <v>3.3</v>
      </c>
      <c r="G370" s="1">
        <v>3.65</v>
      </c>
      <c r="H370" s="1">
        <v>-5</v>
      </c>
      <c r="I370" s="1">
        <v>4.9000000000000004</v>
      </c>
      <c r="K370" s="1">
        <v>12</v>
      </c>
      <c r="L370" s="1">
        <v>12.4</v>
      </c>
      <c r="M370" s="1">
        <v>1.2</v>
      </c>
      <c r="N370" s="1">
        <v>8.3000000000000007</v>
      </c>
      <c r="Q370" s="118">
        <f t="shared" si="107"/>
        <v>2.2179236151241555</v>
      </c>
      <c r="R370" s="119">
        <f t="shared" si="108"/>
        <v>643.19784838600503</v>
      </c>
      <c r="S370" s="118" t="str">
        <f t="shared" si="109"/>
        <v/>
      </c>
      <c r="T370" s="118">
        <f t="shared" si="110"/>
        <v>14.588529031282899</v>
      </c>
      <c r="U370" s="118">
        <f t="shared" si="111"/>
        <v>-12.860149231689942</v>
      </c>
      <c r="V370" s="118" t="e">
        <f t="shared" si="112"/>
        <v>#N/A</v>
      </c>
      <c r="W370" s="118" t="e">
        <f t="shared" si="113"/>
        <v>#N/A</v>
      </c>
      <c r="X370" s="118">
        <f>IF(OR(N370="",R370=""),NA(),10*LOG10((G370+'CMOS FOM coeff. calculation'!$Q$3)^'CMOS FOM coeff. calculation'!$P$3*(1000*E370)^'CMOS FOM coeff. calculation'!$N$3*R370^'CMOS FOM coeff. calculation'!$O$3*N370^'CMOS FOM coeff. calculation'!$M$3))</f>
        <v>12.717110443822069</v>
      </c>
      <c r="Y370" s="68"/>
    </row>
    <row r="371" spans="1:27">
      <c r="A371" t="s">
        <v>917</v>
      </c>
      <c r="B371" s="8" t="s">
        <v>921</v>
      </c>
      <c r="C371" t="s">
        <v>924</v>
      </c>
      <c r="D371" s="7" t="s">
        <v>922</v>
      </c>
      <c r="E371" s="1">
        <v>0.13</v>
      </c>
      <c r="F371" s="1">
        <v>1.9</v>
      </c>
      <c r="G371" s="1">
        <v>16.5</v>
      </c>
      <c r="H371" s="1">
        <v>-12</v>
      </c>
      <c r="I371" s="1">
        <v>4.5</v>
      </c>
      <c r="K371" s="1">
        <v>-12</v>
      </c>
      <c r="L371" s="1">
        <v>15.4</v>
      </c>
      <c r="M371" s="1">
        <v>1.3</v>
      </c>
      <c r="N371" s="1">
        <v>7.8</v>
      </c>
      <c r="Q371" s="118">
        <f t="shared" si="107"/>
        <v>1.8723830482347463</v>
      </c>
      <c r="R371" s="119">
        <f t="shared" si="108"/>
        <v>542.99108398807641</v>
      </c>
      <c r="S371" s="118" t="str">
        <f t="shared" si="109"/>
        <v/>
      </c>
      <c r="T371" s="118">
        <f t="shared" si="110"/>
        <v>9.3951246889951019</v>
      </c>
      <c r="U371" s="118">
        <f t="shared" si="111"/>
        <v>-8.465946019152339</v>
      </c>
      <c r="V371" s="118" t="e">
        <f t="shared" si="112"/>
        <v>#N/A</v>
      </c>
      <c r="W371" s="118" t="e">
        <f t="shared" si="113"/>
        <v>#N/A</v>
      </c>
      <c r="X371" s="118">
        <f>IF(OR(N371="",R371=""),NA(),10*LOG10((G371+'CMOS FOM coeff. calculation'!$Q$3)^'CMOS FOM coeff. calculation'!$P$3*(1000*E371)^'CMOS FOM coeff. calculation'!$N$3*R371^'CMOS FOM coeff. calculation'!$O$3*N371^'CMOS FOM coeff. calculation'!$M$3))</f>
        <v>18.143047484230387</v>
      </c>
      <c r="Y371" s="68"/>
      <c r="Z371" t="s">
        <v>923</v>
      </c>
      <c r="AA371" s="3" t="s">
        <v>5</v>
      </c>
    </row>
    <row r="372" spans="1:27">
      <c r="A372" t="s">
        <v>917</v>
      </c>
      <c r="B372" s="8" t="s">
        <v>939</v>
      </c>
      <c r="C372" t="s">
        <v>940</v>
      </c>
      <c r="D372" s="7" t="s">
        <v>938</v>
      </c>
      <c r="E372" s="1">
        <v>0.09</v>
      </c>
      <c r="F372" s="1">
        <v>21</v>
      </c>
      <c r="G372" s="1">
        <v>10.5</v>
      </c>
      <c r="H372" s="1">
        <v>-7</v>
      </c>
      <c r="I372" s="1">
        <v>4.4000000000000004</v>
      </c>
      <c r="K372" s="1">
        <v>-6.6</v>
      </c>
      <c r="L372" s="1">
        <v>15.4</v>
      </c>
      <c r="N372" s="1">
        <v>12.5</v>
      </c>
      <c r="P372" s="1">
        <v>0.41399999999999998</v>
      </c>
      <c r="Q372" s="118">
        <f t="shared" si="107"/>
        <v>1.806323646347247</v>
      </c>
      <c r="R372" s="119">
        <f t="shared" si="108"/>
        <v>523.83385744070165</v>
      </c>
      <c r="S372" s="118" t="str">
        <f t="shared" si="109"/>
        <v/>
      </c>
      <c r="T372" s="118">
        <f t="shared" si="110"/>
        <v>13.35982692960066</v>
      </c>
      <c r="U372" s="118">
        <f t="shared" si="111"/>
        <v>-8.9524292804875962</v>
      </c>
      <c r="V372" s="118" t="e">
        <f t="shared" si="112"/>
        <v>#N/A</v>
      </c>
      <c r="W372" s="118" t="e">
        <f t="shared" si="113"/>
        <v>#N/A</v>
      </c>
      <c r="X372" s="118">
        <f>IF(OR(N372="",R372=""),NA(),10*LOG10((G372+'CMOS FOM coeff. calculation'!$Q$3)^'CMOS FOM coeff. calculation'!$P$3*(1000*E372)^'CMOS FOM coeff. calculation'!$N$3*R372^'CMOS FOM coeff. calculation'!$O$3*N372^'CMOS FOM coeff. calculation'!$M$3))</f>
        <v>14.867074518853915</v>
      </c>
      <c r="Y372" s="68"/>
      <c r="Z372" t="s">
        <v>941</v>
      </c>
      <c r="AA372" s="3" t="s">
        <v>5</v>
      </c>
    </row>
    <row r="373" spans="1:27">
      <c r="A373" t="s">
        <v>917</v>
      </c>
      <c r="B373" s="8" t="s">
        <v>942</v>
      </c>
      <c r="C373" t="s">
        <v>642</v>
      </c>
      <c r="D373" s="7" t="s">
        <v>943</v>
      </c>
      <c r="E373" s="1">
        <v>0.09</v>
      </c>
      <c r="F373" s="1">
        <v>1.0980000000000001</v>
      </c>
      <c r="G373" s="1">
        <v>0.55100000000000005</v>
      </c>
      <c r="H373" s="1">
        <v>-10</v>
      </c>
      <c r="I373" s="1">
        <v>1.43</v>
      </c>
      <c r="K373" s="1">
        <v>-1.5</v>
      </c>
      <c r="L373" s="1">
        <v>20</v>
      </c>
      <c r="M373" s="1">
        <v>1.8</v>
      </c>
      <c r="N373" s="1">
        <v>18</v>
      </c>
      <c r="O373" s="1">
        <v>0.06</v>
      </c>
      <c r="Q373" s="118">
        <f t="shared" si="107"/>
        <v>0.39389154668015475</v>
      </c>
      <c r="R373" s="119">
        <f t="shared" si="108"/>
        <v>114.22854853724488</v>
      </c>
      <c r="S373" s="118" t="str">
        <f t="shared" si="109"/>
        <v/>
      </c>
      <c r="T373" s="118">
        <f t="shared" si="110"/>
        <v>15.807097503813567</v>
      </c>
      <c r="U373" s="118">
        <f t="shared" si="111"/>
        <v>-15.67175637009999</v>
      </c>
      <c r="V373" s="118" t="e">
        <f t="shared" si="112"/>
        <v>#N/A</v>
      </c>
      <c r="W373" s="118" t="e">
        <f t="shared" si="113"/>
        <v>#N/A</v>
      </c>
      <c r="X373" s="118">
        <f>IF(OR(N373="",R373=""),NA(),10*LOG10((G373+'CMOS FOM coeff. calculation'!$Q$3)^'CMOS FOM coeff. calculation'!$P$3*(1000*E373)^'CMOS FOM coeff. calculation'!$N$3*R373^'CMOS FOM coeff. calculation'!$O$3*N373^'CMOS FOM coeff. calculation'!$M$3))</f>
        <v>16.025609890469632</v>
      </c>
      <c r="Y373" s="68"/>
      <c r="Z373" t="s">
        <v>944</v>
      </c>
      <c r="AA373" s="3" t="s">
        <v>5</v>
      </c>
    </row>
    <row r="374" spans="1:27">
      <c r="A374" t="s">
        <v>917</v>
      </c>
      <c r="B374" s="8" t="s">
        <v>945</v>
      </c>
      <c r="C374" t="s">
        <v>948</v>
      </c>
      <c r="D374" s="7" t="s">
        <v>946</v>
      </c>
      <c r="E374" s="1">
        <v>6.5000000000000002E-2</v>
      </c>
      <c r="F374" s="1">
        <v>4</v>
      </c>
      <c r="G374" s="1">
        <v>3</v>
      </c>
      <c r="H374" s="1">
        <v>-6</v>
      </c>
      <c r="I374" s="1">
        <v>3.4</v>
      </c>
      <c r="J374" s="1">
        <v>-21</v>
      </c>
      <c r="K374" s="1">
        <v>-12</v>
      </c>
      <c r="L374" s="1">
        <v>24</v>
      </c>
      <c r="M374" s="1">
        <v>1.2</v>
      </c>
      <c r="N374" s="1">
        <v>16.8</v>
      </c>
      <c r="Q374" s="118">
        <f t="shared" si="107"/>
        <v>1.1925090881389357</v>
      </c>
      <c r="R374" s="119">
        <f t="shared" si="108"/>
        <v>345.82763556029136</v>
      </c>
      <c r="S374" s="118">
        <f t="shared" si="109"/>
        <v>1.9873190326216363</v>
      </c>
      <c r="T374" s="118">
        <f t="shared" si="110"/>
        <v>17.495994793979456</v>
      </c>
      <c r="U374" s="118">
        <f t="shared" si="111"/>
        <v>-15.489128156219582</v>
      </c>
      <c r="V374" s="118">
        <f t="shared" si="112"/>
        <v>-18.219582464897449</v>
      </c>
      <c r="W374" s="118">
        <f t="shared" si="113"/>
        <v>-16.212715827137576</v>
      </c>
      <c r="X374" s="118">
        <f>IF(OR(N374="",R374=""),NA(),10*LOG10((G374+'CMOS FOM coeff. calculation'!$Q$3)^'CMOS FOM coeff. calculation'!$P$3*(1000*E374)^'CMOS FOM coeff. calculation'!$N$3*R374^'CMOS FOM coeff. calculation'!$O$3*N374^'CMOS FOM coeff. calculation'!$M$3))</f>
        <v>12.100606612672474</v>
      </c>
      <c r="Y374" s="68"/>
      <c r="Z374" t="s">
        <v>947</v>
      </c>
      <c r="AA374" s="3" t="s">
        <v>440</v>
      </c>
    </row>
    <row r="375" spans="1:27">
      <c r="E375" s="1">
        <v>6.5000000000000002E-2</v>
      </c>
      <c r="F375" s="1">
        <v>5</v>
      </c>
      <c r="G375" s="1">
        <v>3.5</v>
      </c>
      <c r="H375" s="1">
        <v>-6</v>
      </c>
      <c r="I375" s="1">
        <v>4.9000000000000004</v>
      </c>
      <c r="J375" s="1">
        <v>-15</v>
      </c>
      <c r="K375" s="1">
        <v>-8</v>
      </c>
      <c r="L375" s="1">
        <v>20</v>
      </c>
      <c r="M375" s="1">
        <v>1.2</v>
      </c>
      <c r="N375" s="1">
        <v>22.8</v>
      </c>
      <c r="Q375" s="118">
        <f t="shared" si="107"/>
        <v>2.1114095277915061</v>
      </c>
      <c r="R375" s="119">
        <f t="shared" si="108"/>
        <v>612.30876305953677</v>
      </c>
      <c r="S375" s="118">
        <f t="shared" si="109"/>
        <v>3.1306548835666947</v>
      </c>
      <c r="T375" s="118">
        <f t="shared" si="110"/>
        <v>19.972875875647876</v>
      </c>
      <c r="U375" s="118">
        <f t="shared" si="111"/>
        <v>-17.642975861194479</v>
      </c>
      <c r="V375" s="118">
        <f t="shared" si="112"/>
        <v>-20.703812720301329</v>
      </c>
      <c r="W375" s="118">
        <f t="shared" si="113"/>
        <v>-18.373912705847932</v>
      </c>
      <c r="X375" s="118">
        <f>IF(OR(N375="",R375=""),NA(),10*LOG10((G375+'CMOS FOM coeff. calculation'!$Q$3)^'CMOS FOM coeff. calculation'!$P$3*(1000*E375)^'CMOS FOM coeff. calculation'!$N$3*R375^'CMOS FOM coeff. calculation'!$O$3*N375^'CMOS FOM coeff. calculation'!$M$3))</f>
        <v>9.851254855746955</v>
      </c>
      <c r="Y375" s="68"/>
    </row>
    <row r="376" spans="1:27">
      <c r="A376" t="s">
        <v>949</v>
      </c>
      <c r="B376" s="8" t="s">
        <v>951</v>
      </c>
      <c r="C376" t="s">
        <v>952</v>
      </c>
      <c r="D376" s="7" t="s">
        <v>950</v>
      </c>
      <c r="E376" s="1">
        <v>0.13</v>
      </c>
      <c r="F376" s="1">
        <v>0.1</v>
      </c>
      <c r="G376" s="1">
        <v>2.5</v>
      </c>
      <c r="H376" s="1">
        <v>-10</v>
      </c>
      <c r="I376" s="1">
        <v>4.9000000000000004</v>
      </c>
      <c r="K376" s="1">
        <v>-12.6</v>
      </c>
      <c r="L376" s="1">
        <v>15.2</v>
      </c>
      <c r="M376" s="1">
        <v>0.5</v>
      </c>
      <c r="N376" s="1">
        <v>0.09</v>
      </c>
      <c r="P376" s="1">
        <v>0.63</v>
      </c>
      <c r="Q376" s="118">
        <f t="shared" si="107"/>
        <v>2.1553870817708525</v>
      </c>
      <c r="R376" s="119">
        <f t="shared" si="108"/>
        <v>625.06225371354719</v>
      </c>
      <c r="S376" s="118" t="str">
        <f t="shared" si="109"/>
        <v/>
      </c>
      <c r="T376" s="118">
        <f t="shared" si="110"/>
        <v>9.0105496989100509</v>
      </c>
      <c r="U376" s="118">
        <f t="shared" si="111"/>
        <v>-12.343883032243383</v>
      </c>
      <c r="V376" s="118" t="e">
        <f t="shared" si="112"/>
        <v>#N/A</v>
      </c>
      <c r="W376" s="118" t="e">
        <f t="shared" si="113"/>
        <v>#N/A</v>
      </c>
      <c r="X376" s="118">
        <f>IF(OR(N376="",R376=""),NA(),10*LOG10((G376+'CMOS FOM coeff. calculation'!$Q$3)^'CMOS FOM coeff. calculation'!$P$3*(1000*E376)^'CMOS FOM coeff. calculation'!$N$3*R376^'CMOS FOM coeff. calculation'!$O$3*N376^'CMOS FOM coeff. calculation'!$M$3))</f>
        <v>16.180138408714932</v>
      </c>
      <c r="Y376" s="68"/>
      <c r="Z376" t="s">
        <v>953</v>
      </c>
      <c r="AA376" s="3" t="s">
        <v>5</v>
      </c>
    </row>
    <row r="377" spans="1:27">
      <c r="B377" s="8"/>
      <c r="D377" s="7"/>
      <c r="E377" s="1">
        <v>0.13</v>
      </c>
      <c r="F377" s="1">
        <v>0.3</v>
      </c>
      <c r="G377" s="1">
        <v>2.5</v>
      </c>
      <c r="H377" s="1">
        <v>-10</v>
      </c>
      <c r="I377" s="1">
        <v>5.3</v>
      </c>
      <c r="K377" s="1">
        <v>-12.2</v>
      </c>
      <c r="L377" s="1">
        <v>13.1</v>
      </c>
      <c r="M377" s="1">
        <v>0.4</v>
      </c>
      <c r="N377" s="1">
        <v>0.06</v>
      </c>
      <c r="Q377" s="118">
        <f t="shared" si="107"/>
        <v>2.5114469117251543</v>
      </c>
      <c r="R377" s="119">
        <f t="shared" si="108"/>
        <v>728.31960440029479</v>
      </c>
      <c r="S377" s="118" t="str">
        <f t="shared" si="109"/>
        <v/>
      </c>
      <c r="T377" s="118">
        <f t="shared" si="110"/>
        <v>9.0875661018670737</v>
      </c>
      <c r="U377" s="118">
        <f t="shared" si="111"/>
        <v>-10.830495252801532</v>
      </c>
      <c r="V377" s="118" t="e">
        <f t="shared" si="112"/>
        <v>#N/A</v>
      </c>
      <c r="W377" s="118" t="e">
        <f t="shared" si="113"/>
        <v>#N/A</v>
      </c>
      <c r="X377" s="118">
        <f>IF(OR(N377="",R377=""),NA(),10*LOG10((G377+'CMOS FOM coeff. calculation'!$Q$3)^'CMOS FOM coeff. calculation'!$P$3*(1000*E377)^'CMOS FOM coeff. calculation'!$N$3*R377^'CMOS FOM coeff. calculation'!$O$3*N377^'CMOS FOM coeff. calculation'!$M$3))</f>
        <v>15.934732386997927</v>
      </c>
      <c r="Y377" s="68"/>
      <c r="Z377" s="4"/>
      <c r="AA377" s="3"/>
    </row>
    <row r="378" spans="1:27">
      <c r="A378" t="s">
        <v>949</v>
      </c>
      <c r="B378" s="8" t="s">
        <v>954</v>
      </c>
      <c r="C378" t="s">
        <v>701</v>
      </c>
      <c r="D378" s="7" t="s">
        <v>955</v>
      </c>
      <c r="E378" s="1">
        <v>0.18</v>
      </c>
      <c r="F378" s="1">
        <v>0.35</v>
      </c>
      <c r="G378" s="1">
        <v>0.92500000000000004</v>
      </c>
      <c r="H378" s="1">
        <v>-10</v>
      </c>
      <c r="I378" s="1">
        <v>1</v>
      </c>
      <c r="J378" s="1">
        <v>-5.0999999999999996</v>
      </c>
      <c r="K378" s="1">
        <v>7.7</v>
      </c>
      <c r="L378" s="1">
        <v>12</v>
      </c>
      <c r="M378" s="1">
        <v>1.8</v>
      </c>
      <c r="N378" s="1">
        <v>16.2</v>
      </c>
      <c r="Q378" s="118">
        <f t="shared" si="107"/>
        <v>0.27636272062612544</v>
      </c>
      <c r="R378" s="119">
        <f t="shared" si="108"/>
        <v>80.145188981576382</v>
      </c>
      <c r="S378" s="118">
        <f t="shared" si="109"/>
        <v>4.5887586504331015</v>
      </c>
      <c r="T378" s="118">
        <f t="shared" si="110"/>
        <v>8.6019330228678452</v>
      </c>
      <c r="U378" s="118">
        <f t="shared" si="111"/>
        <v>-10.121706208366927</v>
      </c>
      <c r="V378" s="118">
        <f t="shared" si="112"/>
        <v>-7.8327131434281423</v>
      </c>
      <c r="W378" s="118">
        <f t="shared" si="113"/>
        <v>-9.352486328927224</v>
      </c>
      <c r="X378" s="118">
        <f>IF(OR(N378="",R378=""),NA(),10*LOG10((G378+'CMOS FOM coeff. calculation'!$Q$3)^'CMOS FOM coeff. calculation'!$P$3*(1000*E378)^'CMOS FOM coeff. calculation'!$N$3*R378^'CMOS FOM coeff. calculation'!$O$3*N378^'CMOS FOM coeff. calculation'!$M$3))</f>
        <v>19.826888057410365</v>
      </c>
      <c r="Y378" s="68"/>
      <c r="Z378" t="s">
        <v>956</v>
      </c>
      <c r="AA378" s="3" t="s">
        <v>5</v>
      </c>
    </row>
    <row r="379" spans="1:27">
      <c r="A379" t="s">
        <v>949</v>
      </c>
      <c r="B379" s="8" t="s">
        <v>957</v>
      </c>
      <c r="C379" t="s">
        <v>960</v>
      </c>
      <c r="D379" s="7" t="s">
        <v>958</v>
      </c>
      <c r="E379" s="1">
        <v>0.13</v>
      </c>
      <c r="F379" s="1">
        <v>0.7</v>
      </c>
      <c r="G379" s="1">
        <v>2.25</v>
      </c>
      <c r="H379" s="1">
        <v>-9</v>
      </c>
      <c r="I379" s="1">
        <v>1.9</v>
      </c>
      <c r="K379" s="1">
        <v>-15</v>
      </c>
      <c r="L379" s="1">
        <v>26</v>
      </c>
      <c r="M379" s="1">
        <v>1.2</v>
      </c>
      <c r="N379" s="1">
        <v>9.6</v>
      </c>
      <c r="O379" s="1">
        <v>0.1925</v>
      </c>
      <c r="Q379" s="118">
        <f t="shared" si="107"/>
        <v>0.55019865544974045</v>
      </c>
      <c r="R379" s="119">
        <f t="shared" si="108"/>
        <v>159.55761008042472</v>
      </c>
      <c r="S379" s="118" t="str">
        <f t="shared" si="109"/>
        <v/>
      </c>
      <c r="T379" s="118">
        <f t="shared" si="110"/>
        <v>10.145637872758417</v>
      </c>
      <c r="U379" s="118">
        <f t="shared" si="111"/>
        <v>-10.661977739377562</v>
      </c>
      <c r="V379" s="118" t="e">
        <f t="shared" si="112"/>
        <v>#N/A</v>
      </c>
      <c r="W379" s="118" t="e">
        <f t="shared" si="113"/>
        <v>#N/A</v>
      </c>
      <c r="X379" s="118">
        <f>IF(OR(N379="",R379=""),NA(),10*LOG10((G379+'CMOS FOM coeff. calculation'!$Q$3)^'CMOS FOM coeff. calculation'!$P$3*(1000*E379)^'CMOS FOM coeff. calculation'!$N$3*R379^'CMOS FOM coeff. calculation'!$O$3*N379^'CMOS FOM coeff. calculation'!$M$3))</f>
        <v>17.330121341983894</v>
      </c>
      <c r="Y379" s="68"/>
      <c r="Z379" t="s">
        <v>959</v>
      </c>
      <c r="AA379" s="3" t="s">
        <v>1863</v>
      </c>
    </row>
    <row r="380" spans="1:27">
      <c r="A380" t="s">
        <v>949</v>
      </c>
      <c r="B380" s="8" t="s">
        <v>962</v>
      </c>
      <c r="C380" t="s">
        <v>963</v>
      </c>
      <c r="D380" s="7" t="s">
        <v>961</v>
      </c>
      <c r="E380" s="1">
        <v>0.18</v>
      </c>
      <c r="F380" s="1">
        <v>0.25</v>
      </c>
      <c r="G380" s="1">
        <v>2.125</v>
      </c>
      <c r="H380" s="1">
        <v>-11</v>
      </c>
      <c r="I380" s="1">
        <v>5.14</v>
      </c>
      <c r="K380" s="1">
        <v>-9.3000000000000007</v>
      </c>
      <c r="L380" s="1">
        <v>13.9</v>
      </c>
      <c r="M380" s="1">
        <v>1.5</v>
      </c>
      <c r="N380" s="1">
        <v>0.21</v>
      </c>
      <c r="P380" s="1">
        <v>1.5</v>
      </c>
      <c r="Q380" s="118">
        <f t="shared" si="107"/>
        <v>2.3621058556928456</v>
      </c>
      <c r="R380" s="119">
        <f t="shared" si="108"/>
        <v>685.01069815092524</v>
      </c>
      <c r="S380" s="118" t="str">
        <f t="shared" si="109"/>
        <v/>
      </c>
      <c r="T380" s="118">
        <f t="shared" si="110"/>
        <v>9.2210315808753336</v>
      </c>
      <c r="U380" s="118">
        <f t="shared" si="111"/>
        <v>-11.227898218635207</v>
      </c>
      <c r="V380" s="118" t="e">
        <f t="shared" si="112"/>
        <v>#N/A</v>
      </c>
      <c r="W380" s="118" t="e">
        <f t="shared" si="113"/>
        <v>#N/A</v>
      </c>
      <c r="X380" s="118">
        <f>IF(OR(N380="",R380=""),NA(),10*LOG10((G380+'CMOS FOM coeff. calculation'!$Q$3)^'CMOS FOM coeff. calculation'!$P$3*(1000*E380)^'CMOS FOM coeff. calculation'!$N$3*R380^'CMOS FOM coeff. calculation'!$O$3*N380^'CMOS FOM coeff. calculation'!$M$3))</f>
        <v>15.878256557963228</v>
      </c>
      <c r="Y380" s="68"/>
      <c r="Z380" t="s">
        <v>964</v>
      </c>
      <c r="AA380" s="3" t="s">
        <v>1864</v>
      </c>
    </row>
    <row r="381" spans="1:27">
      <c r="B381" s="8"/>
      <c r="D381" s="7"/>
      <c r="E381" s="1">
        <v>0.18</v>
      </c>
      <c r="F381" s="1">
        <v>0.25</v>
      </c>
      <c r="G381" s="1">
        <v>2.125</v>
      </c>
      <c r="H381" s="1">
        <v>-14</v>
      </c>
      <c r="I381" s="1">
        <v>4.05</v>
      </c>
      <c r="K381" s="1">
        <v>-11.6</v>
      </c>
      <c r="L381" s="1">
        <v>16.399999999999999</v>
      </c>
      <c r="M381" s="1">
        <v>1.6</v>
      </c>
      <c r="N381" s="1">
        <v>0.374</v>
      </c>
      <c r="P381" s="1">
        <v>1.5</v>
      </c>
      <c r="Q381" s="118">
        <f t="shared" si="107"/>
        <v>1.5771020257073811</v>
      </c>
      <c r="R381" s="119">
        <f t="shared" si="108"/>
        <v>457.35958745514051</v>
      </c>
      <c r="S381" s="118" t="str">
        <f t="shared" si="109"/>
        <v/>
      </c>
      <c r="T381" s="118">
        <f t="shared" si="110"/>
        <v>8.3021436057249591</v>
      </c>
      <c r="U381" s="118">
        <f t="shared" si="111"/>
        <v>-10.309010243484835</v>
      </c>
      <c r="V381" s="118" t="e">
        <f t="shared" si="112"/>
        <v>#N/A</v>
      </c>
      <c r="W381" s="118" t="e">
        <f t="shared" si="113"/>
        <v>#N/A</v>
      </c>
      <c r="X381" s="118">
        <f>IF(OR(N381="",R381=""),NA(),10*LOG10((G381+'CMOS FOM coeff. calculation'!$Q$3)^'CMOS FOM coeff. calculation'!$P$3*(1000*E381)^'CMOS FOM coeff. calculation'!$N$3*R381^'CMOS FOM coeff. calculation'!$O$3*N381^'CMOS FOM coeff. calculation'!$M$3))</f>
        <v>16.955908043065126</v>
      </c>
      <c r="Y381" s="68"/>
      <c r="Z381" s="4"/>
      <c r="AA381" s="3"/>
    </row>
    <row r="382" spans="1:27">
      <c r="B382" s="8"/>
      <c r="D382" s="7"/>
      <c r="E382" s="1">
        <v>0.18</v>
      </c>
      <c r="F382" s="1">
        <v>0.25</v>
      </c>
      <c r="G382" s="1">
        <v>2.125</v>
      </c>
      <c r="H382" s="1">
        <v>-13</v>
      </c>
      <c r="I382" s="1">
        <v>3.41</v>
      </c>
      <c r="K382" s="1">
        <v>-12.9</v>
      </c>
      <c r="L382" s="1">
        <v>17.399999999999999</v>
      </c>
      <c r="M382" s="1">
        <v>1.7</v>
      </c>
      <c r="N382" s="1">
        <v>0.61199999999999999</v>
      </c>
      <c r="Q382" s="118">
        <f t="shared" si="107"/>
        <v>1.2149127124095267</v>
      </c>
      <c r="R382" s="119">
        <f t="shared" si="108"/>
        <v>352.32468659876275</v>
      </c>
      <c r="S382" s="118" t="str">
        <f t="shared" si="109"/>
        <v/>
      </c>
      <c r="T382" s="118">
        <f t="shared" si="110"/>
        <v>7.8819292070636182</v>
      </c>
      <c r="U382" s="118">
        <f t="shared" si="111"/>
        <v>-9.8887958448234929</v>
      </c>
      <c r="V382" s="118" t="e">
        <f t="shared" si="112"/>
        <v>#N/A</v>
      </c>
      <c r="W382" s="118" t="e">
        <f t="shared" si="113"/>
        <v>#N/A</v>
      </c>
      <c r="X382" s="118">
        <f>IF(OR(N382="",R382=""),NA(),10*LOG10((G382+'CMOS FOM coeff. calculation'!$Q$3)^'CMOS FOM coeff. calculation'!$P$3*(1000*E382)^'CMOS FOM coeff. calculation'!$N$3*R382^'CMOS FOM coeff. calculation'!$O$3*N382^'CMOS FOM coeff. calculation'!$M$3))</f>
        <v>17.547980821805417</v>
      </c>
      <c r="Y382" s="68"/>
      <c r="Z382" s="4"/>
      <c r="AA382" s="3"/>
    </row>
    <row r="383" spans="1:27">
      <c r="B383" s="8"/>
      <c r="D383" s="7"/>
      <c r="E383" s="1">
        <v>0.18</v>
      </c>
      <c r="F383" s="1">
        <v>0.25</v>
      </c>
      <c r="G383" s="1">
        <v>2.125</v>
      </c>
      <c r="H383" s="1">
        <v>-12.5</v>
      </c>
      <c r="I383" s="1">
        <v>2.97</v>
      </c>
      <c r="K383" s="1">
        <v>-13.6</v>
      </c>
      <c r="L383" s="1">
        <v>18.2</v>
      </c>
      <c r="M383" s="1">
        <v>1.8</v>
      </c>
      <c r="N383" s="1">
        <v>0.95399999999999996</v>
      </c>
      <c r="Q383" s="118">
        <f t="shared" si="107"/>
        <v>0.99661134898078918</v>
      </c>
      <c r="R383" s="119">
        <f t="shared" si="108"/>
        <v>289.01729120442889</v>
      </c>
      <c r="S383" s="118" t="str">
        <f t="shared" si="109"/>
        <v/>
      </c>
      <c r="T383" s="118">
        <f t="shared" si="110"/>
        <v>7.6643932359443774</v>
      </c>
      <c r="U383" s="118">
        <f t="shared" si="111"/>
        <v>-9.6712598737042512</v>
      </c>
      <c r="V383" s="118" t="e">
        <f t="shared" si="112"/>
        <v>#N/A</v>
      </c>
      <c r="W383" s="118" t="e">
        <f t="shared" si="113"/>
        <v>#N/A</v>
      </c>
      <c r="X383" s="118">
        <f>IF(OR(N383="",R383=""),NA(),10*LOG10((G383+'CMOS FOM coeff. calculation'!$Q$3)^'CMOS FOM coeff. calculation'!$P$3*(1000*E383)^'CMOS FOM coeff. calculation'!$N$3*R383^'CMOS FOM coeff. calculation'!$O$3*N383^'CMOS FOM coeff. calculation'!$M$3))</f>
        <v>17.936560148371264</v>
      </c>
      <c r="Y383" s="68"/>
      <c r="Z383" s="4"/>
      <c r="AA383" s="3"/>
    </row>
    <row r="384" spans="1:27">
      <c r="A384" t="s">
        <v>949</v>
      </c>
      <c r="B384" s="8" t="s">
        <v>966</v>
      </c>
      <c r="C384" t="s">
        <v>671</v>
      </c>
      <c r="D384" s="7" t="s">
        <v>965</v>
      </c>
      <c r="E384" s="1">
        <v>0.13</v>
      </c>
      <c r="F384" s="1">
        <v>2.6</v>
      </c>
      <c r="G384" s="1">
        <v>1.4</v>
      </c>
      <c r="H384" s="1">
        <v>-19</v>
      </c>
      <c r="I384" s="1">
        <v>3</v>
      </c>
      <c r="K384" s="1">
        <v>-12</v>
      </c>
      <c r="L384" s="1">
        <v>22</v>
      </c>
      <c r="M384" s="1">
        <v>1.2</v>
      </c>
      <c r="N384" s="1">
        <v>1.32</v>
      </c>
      <c r="O384" s="1">
        <v>7.0000000000000001E-3</v>
      </c>
      <c r="P384" s="1">
        <v>1.44</v>
      </c>
      <c r="Q384" s="118">
        <f t="shared" si="107"/>
        <v>1.0015818693344274</v>
      </c>
      <c r="R384" s="119">
        <f t="shared" si="108"/>
        <v>290.45874210698395</v>
      </c>
      <c r="S384" s="118" t="str">
        <f t="shared" si="109"/>
        <v/>
      </c>
      <c r="T384" s="118">
        <f t="shared" si="110"/>
        <v>11.248679378662164</v>
      </c>
      <c r="U384" s="118">
        <f t="shared" si="111"/>
        <v>-9.8654348854261045</v>
      </c>
      <c r="V384" s="118" t="e">
        <f t="shared" si="112"/>
        <v>#N/A</v>
      </c>
      <c r="W384" s="118" t="e">
        <f t="shared" si="113"/>
        <v>#N/A</v>
      </c>
      <c r="X384" s="118">
        <f>IF(OR(N384="",R384=""),NA(),10*LOG10((G384+'CMOS FOM coeff. calculation'!$Q$3)^'CMOS FOM coeff. calculation'!$P$3*(1000*E384)^'CMOS FOM coeff. calculation'!$N$3*R384^'CMOS FOM coeff. calculation'!$O$3*N384^'CMOS FOM coeff. calculation'!$M$3))</f>
        <v>16.251187500804917</v>
      </c>
      <c r="Y384" s="68"/>
      <c r="Z384" t="s">
        <v>967</v>
      </c>
      <c r="AA384" s="3" t="s">
        <v>5</v>
      </c>
    </row>
    <row r="385" spans="1:27">
      <c r="A385" t="s">
        <v>949</v>
      </c>
      <c r="B385" s="8" t="s">
        <v>969</v>
      </c>
      <c r="C385" t="s">
        <v>970</v>
      </c>
      <c r="D385" s="7" t="s">
        <v>968</v>
      </c>
      <c r="E385" s="1">
        <v>0.18</v>
      </c>
      <c r="F385" s="1">
        <v>7</v>
      </c>
      <c r="G385" s="1">
        <v>4.5</v>
      </c>
      <c r="H385" s="1">
        <v>-10</v>
      </c>
      <c r="I385" s="1">
        <v>1.9</v>
      </c>
      <c r="K385" s="1">
        <v>-2</v>
      </c>
      <c r="L385" s="1">
        <v>16.5</v>
      </c>
      <c r="M385" s="1">
        <v>1.8</v>
      </c>
      <c r="N385" s="1">
        <v>10.8</v>
      </c>
      <c r="P385" s="1">
        <v>1.056</v>
      </c>
      <c r="Q385" s="118">
        <f t="shared" si="107"/>
        <v>0.56138445129219572</v>
      </c>
      <c r="R385" s="119">
        <f t="shared" si="108"/>
        <v>162.80149087473677</v>
      </c>
      <c r="S385" s="118" t="str">
        <f t="shared" si="109"/>
        <v/>
      </c>
      <c r="T385" s="118">
        <f t="shared" si="110"/>
        <v>6.5122994895207764</v>
      </c>
      <c r="U385" s="118">
        <f t="shared" si="111"/>
        <v>-3.6953060228065877</v>
      </c>
      <c r="V385" s="118" t="e">
        <f t="shared" si="112"/>
        <v>#N/A</v>
      </c>
      <c r="W385" s="118" t="e">
        <f t="shared" si="113"/>
        <v>#N/A</v>
      </c>
      <c r="X385" s="118">
        <f>IF(OR(N385="",R385=""),NA(),10*LOG10((G385+'CMOS FOM coeff. calculation'!$Q$3)^'CMOS FOM coeff. calculation'!$P$3*(1000*E385)^'CMOS FOM coeff. calculation'!$N$3*R385^'CMOS FOM coeff. calculation'!$O$3*N385^'CMOS FOM coeff. calculation'!$M$3))</f>
        <v>19.251966756389031</v>
      </c>
      <c r="Y385" s="68"/>
      <c r="Z385" t="s">
        <v>971</v>
      </c>
      <c r="AA385" s="3" t="s">
        <v>5</v>
      </c>
    </row>
    <row r="386" spans="1:27">
      <c r="A386" t="s">
        <v>949</v>
      </c>
      <c r="B386" s="8" t="s">
        <v>972</v>
      </c>
      <c r="C386" t="s">
        <v>974</v>
      </c>
      <c r="D386" s="7" t="s">
        <v>973</v>
      </c>
      <c r="E386" s="1">
        <v>6.5000000000000002E-2</v>
      </c>
      <c r="F386" s="1">
        <v>14.1</v>
      </c>
      <c r="G386" s="1">
        <v>60</v>
      </c>
      <c r="H386" s="1">
        <v>-4</v>
      </c>
      <c r="I386" s="1">
        <v>4.9000000000000004</v>
      </c>
      <c r="J386" s="1">
        <v>-28</v>
      </c>
      <c r="L386" s="1">
        <v>20.6</v>
      </c>
      <c r="M386" s="1">
        <v>1.2</v>
      </c>
      <c r="N386" s="1">
        <v>33.6</v>
      </c>
      <c r="P386" s="1">
        <v>1.7023999999999999</v>
      </c>
      <c r="Q386" s="118">
        <f t="shared" ref="Q386:Q417" si="114">IF(OR(I386="",L386=""),"",(10^(I386/10)-1)*10^(L386/10)/(10^(L386/10)-1))</f>
        <v>2.108661102955903</v>
      </c>
      <c r="R386" s="119">
        <f t="shared" ref="R386:R417" si="115">IF(Q386="","",290*Q386)</f>
        <v>611.51171985721192</v>
      </c>
      <c r="S386" s="118">
        <f t="shared" ref="S386:S417" si="116">IF(OR(J386="",L386=""),"",10^(J386/10)*(10^(L386/10)-1))</f>
        <v>0.18038519266853734</v>
      </c>
      <c r="T386" s="118">
        <f t="shared" ref="T386:T417" si="117">IF(OR(Q386="",N386="",E386="",G386=""),NA(),10*LOG10(Q386*N386^(1/3)*E386^(-4/3)*G386^(-2/3)))</f>
        <v>12.301345703242019</v>
      </c>
      <c r="U386" s="118">
        <f t="shared" ref="U386:U417" si="118">IF(OR(ISNA(T386),F386=""),NA(),10*LOG10(F386^(1/3))-T386)</f>
        <v>-8.4706153277240865</v>
      </c>
      <c r="V386" s="118">
        <f t="shared" ref="V386:V417" si="119">IF(OR(ISNA(T386),S386=""),NA(),10*LOG10(S386^(1/3)*E386*G386^(1/3)/Q386/N386^(2/3)))</f>
        <v>-21.838689035921984</v>
      </c>
      <c r="W386" s="118">
        <f t="shared" ref="W386:W417" si="120">IF(OR(ISNA(V386),F386=""),NA(),V386+10*LOG10(F386^(1/3)))</f>
        <v>-18.00795866040405</v>
      </c>
      <c r="X386" s="118">
        <f>IF(OR(N386="",R386=""),NA(),10*LOG10((G386+'CMOS FOM coeff. calculation'!$Q$3)^'CMOS FOM coeff. calculation'!$P$3*(1000*E386)^'CMOS FOM coeff. calculation'!$N$3*R386^'CMOS FOM coeff. calculation'!$O$3*N386^'CMOS FOM coeff. calculation'!$M$3))</f>
        <v>21.968149983445823</v>
      </c>
      <c r="Y386" s="68"/>
      <c r="Z386" t="s">
        <v>2093</v>
      </c>
      <c r="AA386" s="3" t="s">
        <v>445</v>
      </c>
    </row>
    <row r="387" spans="1:27">
      <c r="E387" s="1">
        <v>6.5000000000000002E-2</v>
      </c>
      <c r="F387" s="1">
        <v>12.2</v>
      </c>
      <c r="G387" s="1">
        <v>60</v>
      </c>
      <c r="H387" s="1">
        <v>-4</v>
      </c>
      <c r="I387" s="1">
        <v>4</v>
      </c>
      <c r="J387" s="1">
        <v>-22.1</v>
      </c>
      <c r="L387" s="1">
        <v>18.100000000000001</v>
      </c>
      <c r="M387" s="1">
        <v>1.2</v>
      </c>
      <c r="N387" s="1">
        <v>28.8</v>
      </c>
      <c r="P387" s="1">
        <v>0.53939999999999999</v>
      </c>
      <c r="Q387" s="118">
        <f t="shared" si="114"/>
        <v>1.5356711616734249</v>
      </c>
      <c r="R387" s="119">
        <f t="shared" si="115"/>
        <v>445.3446368852932</v>
      </c>
      <c r="S387" s="118">
        <f t="shared" si="116"/>
        <v>0.39194122053488251</v>
      </c>
      <c r="T387" s="118">
        <f t="shared" si="117"/>
        <v>10.701104155491745</v>
      </c>
      <c r="U387" s="118">
        <f t="shared" si="118"/>
        <v>-7.0799047199092513</v>
      </c>
      <c r="V387" s="118">
        <f t="shared" si="119"/>
        <v>-18.891891335724985</v>
      </c>
      <c r="W387" s="118">
        <f t="shared" si="120"/>
        <v>-15.270691900142491</v>
      </c>
      <c r="X387" s="118">
        <f>IF(OR(N387="",R387=""),NA(),10*LOG10((G387+'CMOS FOM coeff. calculation'!$Q$3)^'CMOS FOM coeff. calculation'!$P$3*(1000*E387)^'CMOS FOM coeff. calculation'!$N$3*R387^'CMOS FOM coeff. calculation'!$O$3*N387^'CMOS FOM coeff. calculation'!$M$3))</f>
        <v>23.341420586790456</v>
      </c>
      <c r="Y387" s="68"/>
    </row>
    <row r="388" spans="1:27">
      <c r="A388" t="s">
        <v>975</v>
      </c>
      <c r="B388" s="8" t="s">
        <v>976</v>
      </c>
      <c r="C388" t="s">
        <v>978</v>
      </c>
      <c r="D388" s="7" t="s">
        <v>977</v>
      </c>
      <c r="E388" s="1">
        <v>0.13</v>
      </c>
      <c r="F388" s="1">
        <v>5.4</v>
      </c>
      <c r="G388" s="1">
        <v>3.9</v>
      </c>
      <c r="H388" s="1">
        <v>-10</v>
      </c>
      <c r="I388" s="1">
        <v>1.8</v>
      </c>
      <c r="K388" s="1">
        <v>3.8</v>
      </c>
      <c r="L388" s="1">
        <v>14</v>
      </c>
      <c r="M388" s="1">
        <v>1.2</v>
      </c>
      <c r="N388" s="1">
        <v>13.2</v>
      </c>
      <c r="O388" s="1">
        <v>0.32</v>
      </c>
      <c r="Q388" s="118">
        <f t="shared" si="114"/>
        <v>0.53485417673195612</v>
      </c>
      <c r="R388" s="119">
        <f t="shared" si="115"/>
        <v>155.10771125226728</v>
      </c>
      <c r="S388" s="118" t="str">
        <f t="shared" si="116"/>
        <v/>
      </c>
      <c r="T388" s="118">
        <f t="shared" si="117"/>
        <v>8.8912582757943284</v>
      </c>
      <c r="U388" s="118">
        <f t="shared" si="118"/>
        <v>-6.4499457430511002</v>
      </c>
      <c r="V388" s="118" t="e">
        <f t="shared" si="119"/>
        <v>#N/A</v>
      </c>
      <c r="W388" s="118" t="e">
        <f t="shared" si="120"/>
        <v>#N/A</v>
      </c>
      <c r="X388" s="118">
        <f>IF(OR(N388="",R388=""),NA(),10*LOG10((G388+'CMOS FOM coeff. calculation'!$Q$3)^'CMOS FOM coeff. calculation'!$P$3*(1000*E388)^'CMOS FOM coeff. calculation'!$N$3*R388^'CMOS FOM coeff. calculation'!$O$3*N388^'CMOS FOM coeff. calculation'!$M$3))</f>
        <v>17.994326595590856</v>
      </c>
      <c r="Y388" s="68"/>
      <c r="Z388" t="s">
        <v>2094</v>
      </c>
      <c r="AA388" s="3" t="s">
        <v>5</v>
      </c>
    </row>
    <row r="389" spans="1:27">
      <c r="A389" t="s">
        <v>975</v>
      </c>
      <c r="B389" s="8" t="s">
        <v>979</v>
      </c>
      <c r="C389" t="s">
        <v>981</v>
      </c>
      <c r="D389" s="7" t="s">
        <v>980</v>
      </c>
      <c r="E389" s="1">
        <v>0.13</v>
      </c>
      <c r="F389" s="1">
        <v>2.1960000000000002</v>
      </c>
      <c r="G389" s="1">
        <v>1.1020000000000001</v>
      </c>
      <c r="H389" s="1">
        <v>-8</v>
      </c>
      <c r="I389" s="1">
        <v>1.6</v>
      </c>
      <c r="K389" s="1">
        <v>17.8</v>
      </c>
      <c r="L389" s="1">
        <v>12.4</v>
      </c>
      <c r="M389" s="1">
        <v>1.2</v>
      </c>
      <c r="N389" s="1">
        <v>22.14</v>
      </c>
      <c r="P389" s="1">
        <v>0.54559999999999997</v>
      </c>
      <c r="Q389" s="118">
        <f t="shared" si="114"/>
        <v>0.47263720299329448</v>
      </c>
      <c r="R389" s="119">
        <f t="shared" si="115"/>
        <v>137.06478886805539</v>
      </c>
      <c r="S389" s="118" t="str">
        <f t="shared" si="116"/>
        <v/>
      </c>
      <c r="T389" s="118">
        <f t="shared" si="117"/>
        <v>12.762082429680305</v>
      </c>
      <c r="U389" s="118">
        <f t="shared" si="118"/>
        <v>-11.623307977086791</v>
      </c>
      <c r="V389" s="118" t="e">
        <f t="shared" si="119"/>
        <v>#N/A</v>
      </c>
      <c r="W389" s="118" t="e">
        <f t="shared" si="120"/>
        <v>#N/A</v>
      </c>
      <c r="X389" s="118">
        <f>IF(OR(N389="",R389=""),NA(),10*LOG10((G389+'CMOS FOM coeff. calculation'!$Q$3)^'CMOS FOM coeff. calculation'!$P$3*(1000*E389)^'CMOS FOM coeff. calculation'!$N$3*R389^'CMOS FOM coeff. calculation'!$O$3*N389^'CMOS FOM coeff. calculation'!$M$3))</f>
        <v>16.569879072669856</v>
      </c>
      <c r="Y389" s="68"/>
      <c r="Z389" t="s">
        <v>2095</v>
      </c>
      <c r="AA389" s="3" t="s">
        <v>5</v>
      </c>
    </row>
    <row r="390" spans="1:27">
      <c r="A390" t="s">
        <v>975</v>
      </c>
      <c r="B390" s="8" t="s">
        <v>982</v>
      </c>
      <c r="C390" t="s">
        <v>701</v>
      </c>
      <c r="D390" s="7" t="s">
        <v>983</v>
      </c>
      <c r="E390" s="1">
        <v>0.18</v>
      </c>
      <c r="F390" s="1">
        <v>0.2</v>
      </c>
      <c r="G390" s="1">
        <v>1</v>
      </c>
      <c r="H390" s="1">
        <v>-10</v>
      </c>
      <c r="I390" s="1">
        <v>1.3</v>
      </c>
      <c r="J390" s="1">
        <v>3</v>
      </c>
      <c r="K390" s="1">
        <v>18.399999999999999</v>
      </c>
      <c r="L390" s="1">
        <v>10.7</v>
      </c>
      <c r="M390" s="1">
        <v>2.5</v>
      </c>
      <c r="N390" s="1">
        <v>50</v>
      </c>
      <c r="O390" s="1">
        <v>0.68</v>
      </c>
      <c r="Q390" s="118">
        <f t="shared" si="114"/>
        <v>0.38142763990625062</v>
      </c>
      <c r="R390" s="119">
        <f t="shared" si="115"/>
        <v>110.61401557281268</v>
      </c>
      <c r="S390" s="118">
        <f t="shared" si="116"/>
        <v>21.447025838230342</v>
      </c>
      <c r="T390" s="118">
        <f t="shared" si="117"/>
        <v>11.407054886921921</v>
      </c>
      <c r="U390" s="118">
        <f t="shared" si="118"/>
        <v>-13.736954901375316</v>
      </c>
      <c r="V390" s="118">
        <f t="shared" si="119"/>
        <v>-10.149973001716759</v>
      </c>
      <c r="W390" s="118">
        <f t="shared" si="120"/>
        <v>-12.479873016170155</v>
      </c>
      <c r="X390" s="118">
        <f>IF(OR(N390="",R390=""),NA(),10*LOG10((G390+'CMOS FOM coeff. calculation'!$Q$3)^'CMOS FOM coeff. calculation'!$P$3*(1000*E390)^'CMOS FOM coeff. calculation'!$N$3*R390^'CMOS FOM coeff. calculation'!$O$3*N390^'CMOS FOM coeff. calculation'!$M$3))</f>
        <v>17.631547858394605</v>
      </c>
      <c r="Y390" s="68"/>
      <c r="Z390" t="s">
        <v>2096</v>
      </c>
      <c r="AA390" s="3" t="s">
        <v>5</v>
      </c>
    </row>
    <row r="391" spans="1:27">
      <c r="A391" t="s">
        <v>975</v>
      </c>
      <c r="B391" s="8" t="s">
        <v>988</v>
      </c>
      <c r="C391" t="s">
        <v>989</v>
      </c>
      <c r="D391" s="7" t="s">
        <v>987</v>
      </c>
      <c r="E391" s="1">
        <v>6.5000000000000002E-2</v>
      </c>
      <c r="F391" s="1">
        <v>9</v>
      </c>
      <c r="G391" s="1">
        <v>61.5</v>
      </c>
      <c r="H391" s="1">
        <v>-5</v>
      </c>
      <c r="I391" s="1">
        <v>4</v>
      </c>
      <c r="J391" s="1">
        <v>-26</v>
      </c>
      <c r="L391" s="1">
        <v>23</v>
      </c>
      <c r="M391" s="1">
        <v>1.25</v>
      </c>
      <c r="N391" s="1">
        <v>8</v>
      </c>
      <c r="O391" s="1">
        <v>0.05</v>
      </c>
      <c r="Q391" s="118">
        <f t="shared" si="114"/>
        <v>1.5195019814553481</v>
      </c>
      <c r="R391" s="119">
        <f t="shared" si="115"/>
        <v>440.65557462205095</v>
      </c>
      <c r="S391" s="118">
        <f t="shared" si="116"/>
        <v>0.49867534719576234</v>
      </c>
      <c r="T391" s="118">
        <f t="shared" si="117"/>
        <v>8.7293004703330901</v>
      </c>
      <c r="U391" s="118">
        <f t="shared" si="118"/>
        <v>-5.54849210553534</v>
      </c>
      <c r="V391" s="118">
        <f t="shared" si="119"/>
        <v>-14.75283567265155</v>
      </c>
      <c r="W391" s="118">
        <f t="shared" si="120"/>
        <v>-11.5720273078538</v>
      </c>
      <c r="X391" s="118">
        <f>IF(OR(N391="",R391=""),NA(),10*LOG10((G391+'CMOS FOM coeff. calculation'!$Q$3)^'CMOS FOM coeff. calculation'!$P$3*(1000*E391)^'CMOS FOM coeff. calculation'!$N$3*R391^'CMOS FOM coeff. calculation'!$O$3*N391^'CMOS FOM coeff. calculation'!$M$3))</f>
        <v>24.669237694736232</v>
      </c>
      <c r="Y391" s="68"/>
      <c r="Z391" t="s">
        <v>2097</v>
      </c>
      <c r="AA391" s="3" t="s">
        <v>5</v>
      </c>
    </row>
    <row r="392" spans="1:27">
      <c r="A392" t="s">
        <v>975</v>
      </c>
      <c r="B392" s="8" t="s">
        <v>990</v>
      </c>
      <c r="C392" t="s">
        <v>278</v>
      </c>
      <c r="D392" s="7" t="s">
        <v>991</v>
      </c>
      <c r="E392" s="1">
        <v>0.13</v>
      </c>
      <c r="F392" s="1">
        <v>0.7</v>
      </c>
      <c r="G392" s="1">
        <v>2.8</v>
      </c>
      <c r="H392" s="1">
        <v>-32.799999999999997</v>
      </c>
      <c r="I392" s="1">
        <v>1.7</v>
      </c>
      <c r="K392" s="1">
        <v>-4</v>
      </c>
      <c r="L392" s="1">
        <v>16.100000000000001</v>
      </c>
      <c r="M392" s="1">
        <v>1.2</v>
      </c>
      <c r="N392" s="1">
        <v>6.4</v>
      </c>
      <c r="O392" s="1">
        <v>0.44</v>
      </c>
      <c r="P392" s="1">
        <v>0.73</v>
      </c>
      <c r="Q392" s="118">
        <f t="shared" si="114"/>
        <v>0.49116506070403926</v>
      </c>
      <c r="R392" s="119">
        <f t="shared" si="115"/>
        <v>142.43786760417137</v>
      </c>
      <c r="S392" s="118" t="str">
        <f t="shared" si="116"/>
        <v/>
      </c>
      <c r="T392" s="118">
        <f t="shared" si="117"/>
        <v>8.4325763281310078</v>
      </c>
      <c r="U392" s="118">
        <f t="shared" si="118"/>
        <v>-8.9489161947501525</v>
      </c>
      <c r="V392" s="118" t="e">
        <f t="shared" si="119"/>
        <v>#N/A</v>
      </c>
      <c r="W392" s="118" t="e">
        <f t="shared" si="120"/>
        <v>#N/A</v>
      </c>
      <c r="X392" s="118">
        <f>IF(OR(N392="",R392=""),NA(),10*LOG10((G392+'CMOS FOM coeff. calculation'!$Q$3)^'CMOS FOM coeff. calculation'!$P$3*(1000*E392)^'CMOS FOM coeff. calculation'!$N$3*R392^'CMOS FOM coeff. calculation'!$O$3*N392^'CMOS FOM coeff. calculation'!$M$3))</f>
        <v>18.411592775553352</v>
      </c>
      <c r="Y392" s="68"/>
      <c r="Z392" t="s">
        <v>2098</v>
      </c>
      <c r="AA392" s="3" t="s">
        <v>992</v>
      </c>
    </row>
    <row r="393" spans="1:27">
      <c r="B393" s="8"/>
      <c r="D393" s="7"/>
      <c r="E393" s="1">
        <v>0.13</v>
      </c>
      <c r="F393" s="1">
        <v>2.8</v>
      </c>
      <c r="G393" s="1">
        <v>3.3</v>
      </c>
      <c r="H393" s="1">
        <v>-18.600000000000001</v>
      </c>
      <c r="I393" s="1">
        <v>3</v>
      </c>
      <c r="K393" s="1">
        <v>-2</v>
      </c>
      <c r="L393" s="1">
        <v>14.2</v>
      </c>
      <c r="M393" s="1">
        <v>1.2</v>
      </c>
      <c r="N393" s="1">
        <v>6.4</v>
      </c>
      <c r="O393" s="1">
        <v>0.44</v>
      </c>
      <c r="P393" s="1">
        <v>0.73</v>
      </c>
      <c r="Q393" s="118">
        <f t="shared" si="114"/>
        <v>1.0345965798829826</v>
      </c>
      <c r="R393" s="119">
        <f t="shared" si="115"/>
        <v>300.03300816606497</v>
      </c>
      <c r="S393" s="118" t="str">
        <f t="shared" si="116"/>
        <v/>
      </c>
      <c r="T393" s="118">
        <f t="shared" si="117"/>
        <v>11.192306000736378</v>
      </c>
      <c r="U393" s="118">
        <f t="shared" si="118"/>
        <v>-9.7017792295956475</v>
      </c>
      <c r="V393" s="118" t="e">
        <f t="shared" si="119"/>
        <v>#N/A</v>
      </c>
      <c r="W393" s="118" t="e">
        <f t="shared" si="120"/>
        <v>#N/A</v>
      </c>
      <c r="X393" s="118">
        <f>IF(OR(N393="",R393=""),NA(),10*LOG10((G393+'CMOS FOM coeff. calculation'!$Q$3)^'CMOS FOM coeff. calculation'!$P$3*(1000*E393)^'CMOS FOM coeff. calculation'!$N$3*R393^'CMOS FOM coeff. calculation'!$O$3*N393^'CMOS FOM coeff. calculation'!$M$3))</f>
        <v>15.751483165154918</v>
      </c>
      <c r="Y393" s="68"/>
      <c r="Z393" s="4"/>
      <c r="AA393" s="3"/>
    </row>
    <row r="394" spans="1:27">
      <c r="E394" s="1">
        <v>0.13</v>
      </c>
      <c r="F394" s="1">
        <v>3.3</v>
      </c>
      <c r="G394" s="1">
        <v>4.5999999999999996</v>
      </c>
      <c r="H394" s="1">
        <v>-35.4</v>
      </c>
      <c r="I394" s="1">
        <v>3.7</v>
      </c>
      <c r="K394" s="1">
        <v>-3.2</v>
      </c>
      <c r="L394" s="1">
        <v>14.2</v>
      </c>
      <c r="M394" s="1">
        <v>1.2</v>
      </c>
      <c r="N394" s="1">
        <v>6.4</v>
      </c>
      <c r="O394" s="1">
        <v>0.44</v>
      </c>
      <c r="P394" s="1">
        <v>0.73</v>
      </c>
      <c r="Q394" s="118">
        <f t="shared" si="114"/>
        <v>1.397354761647567</v>
      </c>
      <c r="R394" s="119">
        <f t="shared" si="115"/>
        <v>405.23288087779446</v>
      </c>
      <c r="S394" s="118" t="str">
        <f t="shared" si="116"/>
        <v/>
      </c>
      <c r="T394" s="118">
        <f t="shared" si="117"/>
        <v>11.536036463064656</v>
      </c>
      <c r="U394" s="118">
        <f t="shared" si="118"/>
        <v>-9.8076566634716986</v>
      </c>
      <c r="V394" s="118" t="e">
        <f t="shared" si="119"/>
        <v>#N/A</v>
      </c>
      <c r="W394" s="118" t="e">
        <f t="shared" si="120"/>
        <v>#N/A</v>
      </c>
      <c r="X394" s="118">
        <f>IF(OR(N394="",R394=""),NA(),10*LOG10((G394+'CMOS FOM coeff. calculation'!$Q$3)^'CMOS FOM coeff. calculation'!$P$3*(1000*E394)^'CMOS FOM coeff. calculation'!$N$3*R394^'CMOS FOM coeff. calculation'!$O$3*N394^'CMOS FOM coeff. calculation'!$M$3))</f>
        <v>15.19905840978506</v>
      </c>
      <c r="Y394" s="68"/>
    </row>
    <row r="395" spans="1:27">
      <c r="E395" s="1">
        <v>0.13</v>
      </c>
      <c r="F395" s="1">
        <v>0.1</v>
      </c>
      <c r="G395" s="1">
        <v>2.0499999999999998</v>
      </c>
      <c r="H395" s="1">
        <v>-8.6</v>
      </c>
      <c r="I395" s="1">
        <v>4</v>
      </c>
      <c r="K395" s="1">
        <v>-2</v>
      </c>
      <c r="L395" s="1">
        <v>14.9</v>
      </c>
      <c r="M395" s="1">
        <v>1.2</v>
      </c>
      <c r="N395" s="1">
        <v>6.4</v>
      </c>
      <c r="O395" s="1">
        <v>0.44</v>
      </c>
      <c r="P395" s="1">
        <v>0.73</v>
      </c>
      <c r="Q395" s="118">
        <f t="shared" si="114"/>
        <v>1.5624461994532688</v>
      </c>
      <c r="R395" s="119">
        <f t="shared" si="115"/>
        <v>453.10939784144796</v>
      </c>
      <c r="S395" s="118" t="str">
        <f t="shared" si="116"/>
        <v/>
      </c>
      <c r="T395" s="118">
        <f t="shared" si="117"/>
        <v>14.361046861941064</v>
      </c>
      <c r="U395" s="118">
        <f t="shared" si="118"/>
        <v>-17.694380195274398</v>
      </c>
      <c r="V395" s="118" t="e">
        <f t="shared" si="119"/>
        <v>#N/A</v>
      </c>
      <c r="W395" s="118" t="e">
        <f t="shared" si="120"/>
        <v>#N/A</v>
      </c>
      <c r="X395" s="118">
        <f>IF(OR(N395="",R395=""),NA(),10*LOG10((G395+'CMOS FOM coeff. calculation'!$Q$3)^'CMOS FOM coeff. calculation'!$P$3*(1000*E395)^'CMOS FOM coeff. calculation'!$N$3*R395^'CMOS FOM coeff. calculation'!$O$3*N395^'CMOS FOM coeff. calculation'!$M$3))</f>
        <v>13.496483195575475</v>
      </c>
      <c r="Y395" s="68"/>
      <c r="AA395" t="s">
        <v>1865</v>
      </c>
    </row>
    <row r="396" spans="1:27">
      <c r="E396" s="1">
        <v>0.13</v>
      </c>
      <c r="F396" s="1">
        <v>3.1</v>
      </c>
      <c r="G396" s="1">
        <v>5.65</v>
      </c>
      <c r="H396" s="1">
        <v>-32.4</v>
      </c>
      <c r="I396" s="1">
        <v>4.8</v>
      </c>
      <c r="K396" s="1">
        <v>-4.2</v>
      </c>
      <c r="L396" s="1">
        <v>14.9</v>
      </c>
      <c r="M396" s="1">
        <v>1.2</v>
      </c>
      <c r="N396" s="1">
        <v>6.4</v>
      </c>
      <c r="O396" s="1">
        <v>0.44</v>
      </c>
      <c r="P396" s="1">
        <v>0.73</v>
      </c>
      <c r="Q396" s="118">
        <f t="shared" si="114"/>
        <v>2.0875019597007496</v>
      </c>
      <c r="R396" s="119">
        <f t="shared" si="115"/>
        <v>605.3755683132174</v>
      </c>
      <c r="S396" s="118" t="str">
        <f t="shared" si="116"/>
        <v/>
      </c>
      <c r="T396" s="118">
        <f t="shared" si="117"/>
        <v>12.683967815677894</v>
      </c>
      <c r="U396" s="118">
        <f t="shared" si="118"/>
        <v>-11.046095502896986</v>
      </c>
      <c r="V396" s="118" t="e">
        <f t="shared" si="119"/>
        <v>#N/A</v>
      </c>
      <c r="W396" s="118" t="e">
        <f t="shared" si="120"/>
        <v>#N/A</v>
      </c>
      <c r="X396" s="118">
        <f>IF(OR(N396="",R396=""),NA(),10*LOG10((G396+'CMOS FOM coeff. calculation'!$Q$3)^'CMOS FOM coeff. calculation'!$P$3*(1000*E396)^'CMOS FOM coeff. calculation'!$N$3*R396^'CMOS FOM coeff. calculation'!$O$3*N396^'CMOS FOM coeff. calculation'!$M$3))</f>
        <v>14.102229732315042</v>
      </c>
      <c r="Y396" s="68"/>
      <c r="AA396" t="s">
        <v>1865</v>
      </c>
    </row>
    <row r="397" spans="1:27">
      <c r="E397" s="1">
        <v>0.13</v>
      </c>
      <c r="F397" s="1">
        <v>6.5</v>
      </c>
      <c r="G397" s="1">
        <v>7.55</v>
      </c>
      <c r="H397" s="1">
        <v>-10</v>
      </c>
      <c r="I397" s="1">
        <v>4</v>
      </c>
      <c r="K397" s="1">
        <v>-1.2</v>
      </c>
      <c r="L397" s="1">
        <v>15.6</v>
      </c>
      <c r="M397" s="1">
        <v>1.2</v>
      </c>
      <c r="N397" s="1">
        <v>6.4</v>
      </c>
      <c r="O397" s="1">
        <v>0.44</v>
      </c>
      <c r="P397" s="1">
        <v>0.73</v>
      </c>
      <c r="Q397" s="118">
        <f t="shared" si="114"/>
        <v>1.5547066071360156</v>
      </c>
      <c r="R397" s="119">
        <f t="shared" si="115"/>
        <v>450.86491606944452</v>
      </c>
      <c r="S397" s="118" t="str">
        <f t="shared" si="116"/>
        <v/>
      </c>
      <c r="T397" s="118">
        <f t="shared" si="117"/>
        <v>10.564859980483854</v>
      </c>
      <c r="U397" s="118">
        <f t="shared" si="118"/>
        <v>-7.8551487916743357</v>
      </c>
      <c r="V397" s="118" t="e">
        <f t="shared" si="119"/>
        <v>#N/A</v>
      </c>
      <c r="W397" s="118" t="e">
        <f t="shared" si="120"/>
        <v>#N/A</v>
      </c>
      <c r="X397" s="118">
        <f>IF(OR(N397="",R397=""),NA(),10*LOG10((G397+'CMOS FOM coeff. calculation'!$Q$3)^'CMOS FOM coeff. calculation'!$P$3*(1000*E397)^'CMOS FOM coeff. calculation'!$N$3*R397^'CMOS FOM coeff. calculation'!$O$3*N397^'CMOS FOM coeff. calculation'!$M$3))</f>
        <v>16.048010764961621</v>
      </c>
      <c r="Y397" s="68"/>
    </row>
    <row r="398" spans="1:27">
      <c r="A398" t="s">
        <v>975</v>
      </c>
      <c r="B398" s="8" t="s">
        <v>997</v>
      </c>
      <c r="C398" t="s">
        <v>998</v>
      </c>
      <c r="D398" s="7" t="s">
        <v>996</v>
      </c>
      <c r="E398" s="1">
        <v>6.5000000000000002E-2</v>
      </c>
      <c r="F398" s="1">
        <v>1.1000000000000001</v>
      </c>
      <c r="G398" s="1">
        <v>4.95</v>
      </c>
      <c r="H398" s="1">
        <v>-10.199999999999999</v>
      </c>
      <c r="I398" s="1">
        <v>2.86</v>
      </c>
      <c r="K398" s="1">
        <v>-5.6</v>
      </c>
      <c r="L398" s="1">
        <v>15.4</v>
      </c>
      <c r="N398" s="1">
        <v>18</v>
      </c>
      <c r="P398" s="1">
        <v>0.52</v>
      </c>
      <c r="Q398" s="118">
        <f t="shared" si="114"/>
        <v>0.95964477463552067</v>
      </c>
      <c r="R398" s="119">
        <f t="shared" si="115"/>
        <v>278.29698464430101</v>
      </c>
      <c r="S398" s="118" t="str">
        <f t="shared" si="116"/>
        <v/>
      </c>
      <c r="T398" s="118">
        <f t="shared" si="117"/>
        <v>15.202467297558345</v>
      </c>
      <c r="U398" s="118">
        <f t="shared" si="118"/>
        <v>-15.064491680364261</v>
      </c>
      <c r="V398" s="118" t="e">
        <f t="shared" si="119"/>
        <v>#N/A</v>
      </c>
      <c r="W398" s="118" t="e">
        <f t="shared" si="120"/>
        <v>#N/A</v>
      </c>
      <c r="X398" s="118">
        <f>IF(OR(N398="",R398=""),NA(),10*LOG10((G398+'CMOS FOM coeff. calculation'!$Q$3)^'CMOS FOM coeff. calculation'!$P$3*(1000*E398)^'CMOS FOM coeff. calculation'!$N$3*R398^'CMOS FOM coeff. calculation'!$O$3*N398^'CMOS FOM coeff. calculation'!$M$3))</f>
        <v>13.82264754548733</v>
      </c>
      <c r="Y398" s="68"/>
      <c r="Z398" t="s">
        <v>2099</v>
      </c>
      <c r="AA398" s="3" t="s">
        <v>995</v>
      </c>
    </row>
    <row r="399" spans="1:27">
      <c r="E399" s="1">
        <v>6.5000000000000002E-2</v>
      </c>
      <c r="F399" s="1">
        <v>1.1000000000000001</v>
      </c>
      <c r="G399" s="1">
        <v>4.95</v>
      </c>
      <c r="H399" s="1">
        <v>-9.4</v>
      </c>
      <c r="I399" s="1">
        <v>2.81</v>
      </c>
      <c r="K399" s="1">
        <v>-9.3000000000000007</v>
      </c>
      <c r="L399" s="1">
        <v>16.2</v>
      </c>
      <c r="N399" s="1">
        <v>18</v>
      </c>
      <c r="P399" s="1">
        <v>0.52</v>
      </c>
      <c r="Q399" s="118">
        <f t="shared" si="114"/>
        <v>0.93221555210638574</v>
      </c>
      <c r="R399" s="119">
        <f t="shared" si="115"/>
        <v>270.34251011085189</v>
      </c>
      <c r="S399" s="118" t="str">
        <f t="shared" si="116"/>
        <v/>
      </c>
      <c r="T399" s="118">
        <f t="shared" si="117"/>
        <v>15.076525708588179</v>
      </c>
      <c r="U399" s="118">
        <f t="shared" si="118"/>
        <v>-14.938550091394095</v>
      </c>
      <c r="V399" s="118" t="e">
        <f t="shared" si="119"/>
        <v>#N/A</v>
      </c>
      <c r="W399" s="118" t="e">
        <f t="shared" si="120"/>
        <v>#N/A</v>
      </c>
      <c r="X399" s="118">
        <f>IF(OR(N399="",R399=""),NA(),10*LOG10((G399+'CMOS FOM coeff. calculation'!$Q$3)^'CMOS FOM coeff. calculation'!$P$3*(1000*E399)^'CMOS FOM coeff. calculation'!$N$3*R399^'CMOS FOM coeff. calculation'!$O$3*N399^'CMOS FOM coeff. calculation'!$M$3))</f>
        <v>13.935994975560481</v>
      </c>
      <c r="Y399" s="68"/>
    </row>
    <row r="400" spans="1:27">
      <c r="E400" s="1">
        <v>6.5000000000000002E-2</v>
      </c>
      <c r="F400" s="1">
        <v>1.1000000000000001</v>
      </c>
      <c r="G400" s="1">
        <v>4.95</v>
      </c>
      <c r="H400" s="1">
        <v>-10.1</v>
      </c>
      <c r="I400" s="1">
        <v>2.76</v>
      </c>
      <c r="K400" s="1">
        <v>-6.5</v>
      </c>
      <c r="L400" s="1">
        <v>16.3</v>
      </c>
      <c r="N400" s="1">
        <v>18</v>
      </c>
      <c r="P400" s="1">
        <v>0.52</v>
      </c>
      <c r="Q400" s="118">
        <f t="shared" si="114"/>
        <v>0.90930759987239607</v>
      </c>
      <c r="R400" s="119">
        <f t="shared" si="115"/>
        <v>263.69920396299489</v>
      </c>
      <c r="S400" s="118" t="str">
        <f t="shared" si="116"/>
        <v/>
      </c>
      <c r="T400" s="118">
        <f t="shared" si="117"/>
        <v>14.968470477664184</v>
      </c>
      <c r="U400" s="118">
        <f t="shared" si="118"/>
        <v>-14.8304948604701</v>
      </c>
      <c r="V400" s="118" t="e">
        <f t="shared" si="119"/>
        <v>#N/A</v>
      </c>
      <c r="W400" s="118" t="e">
        <f t="shared" si="120"/>
        <v>#N/A</v>
      </c>
      <c r="X400" s="118">
        <f>IF(OR(N400="",R400=""),NA(),10*LOG10((G400+'CMOS FOM coeff. calculation'!$Q$3)^'CMOS FOM coeff. calculation'!$P$3*(1000*E400)^'CMOS FOM coeff. calculation'!$N$3*R400^'CMOS FOM coeff. calculation'!$O$3*N400^'CMOS FOM coeff. calculation'!$M$3))</f>
        <v>14.03324468339207</v>
      </c>
      <c r="Y400" s="68"/>
    </row>
    <row r="401" spans="1:27">
      <c r="E401" s="1">
        <v>6.5000000000000002E-2</v>
      </c>
      <c r="F401" s="1">
        <v>1.1000000000000001</v>
      </c>
      <c r="G401" s="1">
        <v>4.95</v>
      </c>
      <c r="H401" s="1">
        <v>-8.4</v>
      </c>
      <c r="I401" s="1">
        <v>2.59</v>
      </c>
      <c r="K401" s="1">
        <v>-10.3</v>
      </c>
      <c r="L401" s="1">
        <v>16.8</v>
      </c>
      <c r="N401" s="1">
        <v>18</v>
      </c>
      <c r="P401" s="1">
        <v>0.52</v>
      </c>
      <c r="Q401" s="118">
        <f t="shared" si="114"/>
        <v>0.83291778176065634</v>
      </c>
      <c r="R401" s="119">
        <f t="shared" si="115"/>
        <v>241.54615671059034</v>
      </c>
      <c r="S401" s="118" t="str">
        <f t="shared" si="116"/>
        <v/>
      </c>
      <c r="T401" s="118">
        <f t="shared" si="117"/>
        <v>14.587383607200831</v>
      </c>
      <c r="U401" s="118">
        <f t="shared" si="118"/>
        <v>-14.449407990006748</v>
      </c>
      <c r="V401" s="118" t="e">
        <f t="shared" si="119"/>
        <v>#N/A</v>
      </c>
      <c r="W401" s="118" t="e">
        <f t="shared" si="120"/>
        <v>#N/A</v>
      </c>
      <c r="X401" s="118">
        <f>IF(OR(N401="",R401=""),NA(),10*LOG10((G401+'CMOS FOM coeff. calculation'!$Q$3)^'CMOS FOM coeff. calculation'!$P$3*(1000*E401)^'CMOS FOM coeff. calculation'!$N$3*R401^'CMOS FOM coeff. calculation'!$O$3*N401^'CMOS FOM coeff. calculation'!$M$3))</f>
        <v>14.376222866809091</v>
      </c>
      <c r="Y401" s="68"/>
    </row>
    <row r="402" spans="1:27">
      <c r="E402" s="1">
        <v>6.5000000000000002E-2</v>
      </c>
      <c r="F402" s="1">
        <v>1.1000000000000001</v>
      </c>
      <c r="G402" s="1">
        <v>4.95</v>
      </c>
      <c r="H402" s="1">
        <v>-9.6999999999999993</v>
      </c>
      <c r="I402" s="1">
        <v>2.59</v>
      </c>
      <c r="K402" s="1">
        <v>-11.4</v>
      </c>
      <c r="L402" s="1">
        <v>16.899999999999999</v>
      </c>
      <c r="N402" s="1">
        <v>18</v>
      </c>
      <c r="P402" s="1">
        <v>0.52</v>
      </c>
      <c r="Q402" s="118">
        <f t="shared" si="114"/>
        <v>0.83251340485451053</v>
      </c>
      <c r="R402" s="119">
        <f t="shared" si="115"/>
        <v>241.42888740780805</v>
      </c>
      <c r="S402" s="118" t="str">
        <f t="shared" si="116"/>
        <v/>
      </c>
      <c r="T402" s="118">
        <f t="shared" si="117"/>
        <v>14.585274619884983</v>
      </c>
      <c r="U402" s="118">
        <f t="shared" si="118"/>
        <v>-14.447299002690899</v>
      </c>
      <c r="V402" s="118" t="e">
        <f t="shared" si="119"/>
        <v>#N/A</v>
      </c>
      <c r="W402" s="118" t="e">
        <f t="shared" si="120"/>
        <v>#N/A</v>
      </c>
      <c r="X402" s="118">
        <f>IF(OR(N402="",R402=""),NA(),10*LOG10((G402+'CMOS FOM coeff. calculation'!$Q$3)^'CMOS FOM coeff. calculation'!$P$3*(1000*E402)^'CMOS FOM coeff. calculation'!$N$3*R402^'CMOS FOM coeff. calculation'!$O$3*N402^'CMOS FOM coeff. calculation'!$M$3))</f>
        <v>14.378120955393355</v>
      </c>
      <c r="Y402" s="68"/>
    </row>
    <row r="403" spans="1:27">
      <c r="A403" t="s">
        <v>1000</v>
      </c>
      <c r="B403" s="8" t="s">
        <v>999</v>
      </c>
      <c r="C403" t="s">
        <v>705</v>
      </c>
      <c r="D403" t="s">
        <v>1866</v>
      </c>
      <c r="E403" s="1">
        <v>6.5000000000000002E-2</v>
      </c>
      <c r="F403" s="1">
        <v>9.5</v>
      </c>
      <c r="G403" s="1">
        <v>4.75</v>
      </c>
      <c r="H403" s="1">
        <v>-10</v>
      </c>
      <c r="I403" s="1">
        <v>2.8</v>
      </c>
      <c r="J403" s="1">
        <v>-7</v>
      </c>
      <c r="K403" s="1">
        <v>4</v>
      </c>
      <c r="L403" s="1">
        <v>12</v>
      </c>
      <c r="M403" s="1">
        <v>1.4</v>
      </c>
      <c r="N403" s="1">
        <v>18</v>
      </c>
      <c r="O403" s="1">
        <v>0.4</v>
      </c>
      <c r="Q403" s="118">
        <f t="shared" si="114"/>
        <v>0.96643888949506673</v>
      </c>
      <c r="R403" s="119">
        <f t="shared" si="115"/>
        <v>280.26727795356936</v>
      </c>
      <c r="S403" s="118">
        <f t="shared" si="116"/>
        <v>2.9627514286714915</v>
      </c>
      <c r="T403" s="118">
        <f t="shared" si="117"/>
        <v>15.352516840633912</v>
      </c>
      <c r="U403" s="118">
        <f t="shared" si="118"/>
        <v>-12.093438156337752</v>
      </c>
      <c r="V403" s="118">
        <f t="shared" si="119"/>
        <v>-16.263131024481073</v>
      </c>
      <c r="W403" s="118">
        <f t="shared" si="120"/>
        <v>-13.004052340184913</v>
      </c>
      <c r="X403" s="118">
        <f>IF(OR(N403="",R403=""),NA(),10*LOG10((G403+'CMOS FOM coeff. calculation'!$Q$3)^'CMOS FOM coeff. calculation'!$P$3*(1000*E403)^'CMOS FOM coeff. calculation'!$N$3*R403^'CMOS FOM coeff. calculation'!$O$3*N403^'CMOS FOM coeff. calculation'!$M$3))</f>
        <v>13.703881212560525</v>
      </c>
      <c r="Y403" s="68"/>
      <c r="Z403" t="s">
        <v>2100</v>
      </c>
      <c r="AA403" s="3" t="s">
        <v>5</v>
      </c>
    </row>
    <row r="404" spans="1:27">
      <c r="A404" t="s">
        <v>1000</v>
      </c>
      <c r="B404" s="8" t="s">
        <v>1002</v>
      </c>
      <c r="C404" t="s">
        <v>1003</v>
      </c>
      <c r="D404" s="7" t="s">
        <v>1001</v>
      </c>
      <c r="E404" s="1">
        <v>0.18</v>
      </c>
      <c r="F404" s="1">
        <v>0.16300000000000001</v>
      </c>
      <c r="G404" s="1">
        <v>0.60599999999999998</v>
      </c>
      <c r="H404" s="1">
        <v>-10</v>
      </c>
      <c r="I404" s="1">
        <v>1.33</v>
      </c>
      <c r="K404" s="1">
        <v>19</v>
      </c>
      <c r="L404" s="1">
        <v>16.5</v>
      </c>
      <c r="M404" s="1">
        <v>1.8</v>
      </c>
      <c r="N404" s="1">
        <v>10.8</v>
      </c>
      <c r="P404" s="1">
        <v>0.43</v>
      </c>
      <c r="Q404" s="118">
        <f t="shared" si="114"/>
        <v>0.36651877999165017</v>
      </c>
      <c r="R404" s="119">
        <f t="shared" si="115"/>
        <v>106.29044619757855</v>
      </c>
      <c r="S404" s="118" t="str">
        <f t="shared" si="116"/>
        <v/>
      </c>
      <c r="T404" s="118">
        <f t="shared" si="117"/>
        <v>10.465590611999698</v>
      </c>
      <c r="U404" s="118">
        <f t="shared" si="118"/>
        <v>-13.091631930653172</v>
      </c>
      <c r="V404" s="118" t="e">
        <f t="shared" si="119"/>
        <v>#N/A</v>
      </c>
      <c r="W404" s="118" t="e">
        <f t="shared" si="120"/>
        <v>#N/A</v>
      </c>
      <c r="X404" s="118">
        <f>IF(OR(N404="",R404=""),NA(),10*LOG10((G404+'CMOS FOM coeff. calculation'!$Q$3)^'CMOS FOM coeff. calculation'!$P$3*(1000*E404)^'CMOS FOM coeff. calculation'!$N$3*R404^'CMOS FOM coeff. calculation'!$O$3*N404^'CMOS FOM coeff. calculation'!$M$3))</f>
        <v>18.890366854006025</v>
      </c>
      <c r="Y404" s="68"/>
      <c r="Z404" t="s">
        <v>2101</v>
      </c>
      <c r="AA404" s="3" t="s">
        <v>5</v>
      </c>
    </row>
    <row r="405" spans="1:27">
      <c r="A405" t="s">
        <v>1000</v>
      </c>
      <c r="B405" s="8" t="s">
        <v>1004</v>
      </c>
      <c r="C405" t="s">
        <v>1006</v>
      </c>
      <c r="D405" s="7" t="s">
        <v>1005</v>
      </c>
      <c r="E405" s="1">
        <v>0.18</v>
      </c>
      <c r="F405" s="1">
        <v>5.0999999999999996</v>
      </c>
      <c r="G405" s="1">
        <v>5.55</v>
      </c>
      <c r="H405" s="1">
        <v>-12.45</v>
      </c>
      <c r="I405" s="1">
        <v>2.83</v>
      </c>
      <c r="K405" s="1">
        <v>12.5</v>
      </c>
      <c r="L405" s="1">
        <v>12.08</v>
      </c>
      <c r="M405" s="1">
        <v>0.6</v>
      </c>
      <c r="N405" s="1">
        <v>4.2</v>
      </c>
      <c r="P405" s="1">
        <v>0.874</v>
      </c>
      <c r="Q405" s="118">
        <f t="shared" si="114"/>
        <v>0.97933262615032179</v>
      </c>
      <c r="R405" s="119">
        <f t="shared" si="115"/>
        <v>284.00646158359331</v>
      </c>
      <c r="S405" s="118" t="str">
        <f t="shared" si="116"/>
        <v/>
      </c>
      <c r="T405" s="118">
        <f t="shared" si="117"/>
        <v>6.9545465770734802</v>
      </c>
      <c r="U405" s="118">
        <f t="shared" si="118"/>
        <v>-4.595979323413693</v>
      </c>
      <c r="V405" s="118" t="e">
        <f t="shared" si="119"/>
        <v>#N/A</v>
      </c>
      <c r="W405" s="118" t="e">
        <f t="shared" si="120"/>
        <v>#N/A</v>
      </c>
      <c r="X405" s="118">
        <f>IF(OR(N405="",R405=""),NA(),10*LOG10((G405+'CMOS FOM coeff. calculation'!$Q$3)^'CMOS FOM coeff. calculation'!$P$3*(1000*E405)^'CMOS FOM coeff. calculation'!$N$3*R405^'CMOS FOM coeff. calculation'!$O$3*N405^'CMOS FOM coeff. calculation'!$M$3))</f>
        <v>18.371796964938156</v>
      </c>
      <c r="Y405" s="68"/>
      <c r="Z405" t="s">
        <v>2102</v>
      </c>
      <c r="AA405" s="3" t="s">
        <v>5</v>
      </c>
    </row>
    <row r="406" spans="1:27">
      <c r="A406" t="s">
        <v>1007</v>
      </c>
      <c r="B406" s="8" t="s">
        <v>2026</v>
      </c>
      <c r="C406" t="s">
        <v>2027</v>
      </c>
      <c r="D406" s="7" t="s">
        <v>2028</v>
      </c>
      <c r="E406" s="1">
        <v>2.8000000000000001E-2</v>
      </c>
      <c r="F406" s="1">
        <v>27</v>
      </c>
      <c r="G406" s="1">
        <v>53.5</v>
      </c>
      <c r="H406" s="1">
        <v>-10</v>
      </c>
      <c r="I406" s="1">
        <v>4.5</v>
      </c>
      <c r="L406" s="1">
        <v>23</v>
      </c>
      <c r="M406" s="1">
        <v>1</v>
      </c>
      <c r="N406" s="1">
        <v>25.3</v>
      </c>
      <c r="P406" s="1">
        <v>0.85</v>
      </c>
      <c r="Q406" s="118">
        <f t="shared" si="114"/>
        <v>1.8275423401624815</v>
      </c>
      <c r="R406" s="119">
        <f t="shared" si="115"/>
        <v>529.98727864711964</v>
      </c>
      <c r="S406" s="118" t="str">
        <f t="shared" si="116"/>
        <v/>
      </c>
      <c r="T406" s="118">
        <f t="shared" si="117"/>
        <v>16.477943913220745</v>
      </c>
      <c r="U406" s="118">
        <f t="shared" si="118"/>
        <v>-11.706731366024121</v>
      </c>
      <c r="V406" s="118" t="e">
        <f t="shared" si="119"/>
        <v>#N/A</v>
      </c>
      <c r="W406" s="118" t="e">
        <f t="shared" si="120"/>
        <v>#N/A</v>
      </c>
      <c r="X406" s="118">
        <f>IF(OR(N406="",R406=""),NA(),10*LOG10((G406+'CMOS FOM coeff. calculation'!$Q$3)^'CMOS FOM coeff. calculation'!$P$3*(1000*E406)^'CMOS FOM coeff. calculation'!$N$3*R406^'CMOS FOM coeff. calculation'!$O$3*N406^'CMOS FOM coeff. calculation'!$M$3))</f>
        <v>19.417249543050961</v>
      </c>
      <c r="Y406" s="68"/>
      <c r="Z406" t="s">
        <v>2103</v>
      </c>
      <c r="AA406" s="3" t="s">
        <v>5</v>
      </c>
    </row>
    <row r="407" spans="1:27">
      <c r="A407" t="s">
        <v>1016</v>
      </c>
      <c r="B407" s="8" t="s">
        <v>1015</v>
      </c>
      <c r="C407" t="s">
        <v>1017</v>
      </c>
      <c r="D407" s="7" t="s">
        <v>1014</v>
      </c>
      <c r="E407" s="1">
        <v>0.18</v>
      </c>
      <c r="F407" s="1">
        <v>1.9</v>
      </c>
      <c r="G407" s="1">
        <v>1.05</v>
      </c>
      <c r="H407" s="1">
        <v>-10</v>
      </c>
      <c r="I407" s="1">
        <v>2.9</v>
      </c>
      <c r="L407" s="1">
        <v>17.5</v>
      </c>
      <c r="M407" s="1">
        <v>2.2000000000000002</v>
      </c>
      <c r="N407" s="1">
        <v>21</v>
      </c>
      <c r="P407" s="1">
        <v>0.63190000000000002</v>
      </c>
      <c r="Q407" s="118">
        <f t="shared" si="114"/>
        <v>0.96704129601159305</v>
      </c>
      <c r="R407" s="119">
        <f t="shared" si="115"/>
        <v>280.441975843362</v>
      </c>
      <c r="S407" s="118" t="str">
        <f t="shared" si="116"/>
        <v/>
      </c>
      <c r="T407" s="118">
        <f t="shared" si="117"/>
        <v>14.050285790840038</v>
      </c>
      <c r="U407" s="118">
        <f t="shared" si="118"/>
        <v>-13.121107120997275</v>
      </c>
      <c r="V407" s="118" t="e">
        <f t="shared" si="119"/>
        <v>#N/A</v>
      </c>
      <c r="W407" s="118" t="e">
        <f t="shared" si="120"/>
        <v>#N/A</v>
      </c>
      <c r="X407" s="118">
        <f>IF(OR(N407="",R407=""),NA(),10*LOG10((G407+'CMOS FOM coeff. calculation'!$Q$3)^'CMOS FOM coeff. calculation'!$P$3*(1000*E407)^'CMOS FOM coeff. calculation'!$N$3*R407^'CMOS FOM coeff. calculation'!$O$3*N407^'CMOS FOM coeff. calculation'!$M$3))</f>
        <v>14.777278655607212</v>
      </c>
      <c r="Y407" s="68"/>
      <c r="Z407" t="s">
        <v>2104</v>
      </c>
      <c r="AA407" s="3" t="s">
        <v>5</v>
      </c>
    </row>
    <row r="408" spans="1:27">
      <c r="A408" t="s">
        <v>1016</v>
      </c>
      <c r="B408" s="8" t="s">
        <v>2029</v>
      </c>
      <c r="C408" t="s">
        <v>2030</v>
      </c>
      <c r="D408" s="7" t="s">
        <v>2031</v>
      </c>
      <c r="E408" s="1">
        <v>0.04</v>
      </c>
      <c r="F408" s="1">
        <v>10.5</v>
      </c>
      <c r="G408" s="1">
        <v>57.75</v>
      </c>
      <c r="H408" s="1">
        <v>-10</v>
      </c>
      <c r="I408" s="1">
        <v>3.6</v>
      </c>
      <c r="K408" s="1">
        <v>-15</v>
      </c>
      <c r="L408" s="1">
        <v>15</v>
      </c>
      <c r="M408" s="1">
        <v>1.2</v>
      </c>
      <c r="N408" s="1">
        <v>20.399999999999999</v>
      </c>
      <c r="O408" s="1">
        <v>0.1953</v>
      </c>
      <c r="Q408" s="118">
        <f t="shared" si="114"/>
        <v>1.3330214936672555</v>
      </c>
      <c r="R408" s="119">
        <f t="shared" si="115"/>
        <v>386.57623316350413</v>
      </c>
      <c r="S408" s="118" t="str">
        <f t="shared" si="116"/>
        <v/>
      </c>
      <c r="T408" s="118">
        <f t="shared" si="117"/>
        <v>12.509325603724497</v>
      </c>
      <c r="U408" s="118">
        <f t="shared" si="118"/>
        <v>-9.1053612734913703</v>
      </c>
      <c r="V408" s="118" t="e">
        <f t="shared" si="119"/>
        <v>#N/A</v>
      </c>
      <c r="W408" s="118" t="e">
        <f t="shared" si="120"/>
        <v>#N/A</v>
      </c>
      <c r="X408" s="118">
        <f>IF(OR(N408="",R408=""),NA(),10*LOG10((G408+'CMOS FOM coeff. calculation'!$Q$3)^'CMOS FOM coeff. calculation'!$P$3*(1000*E408)^'CMOS FOM coeff. calculation'!$N$3*R408^'CMOS FOM coeff. calculation'!$O$3*N408^'CMOS FOM coeff. calculation'!$M$3))</f>
        <v>22.450659220410813</v>
      </c>
      <c r="Y408" s="68"/>
      <c r="Z408" t="s">
        <v>2105</v>
      </c>
      <c r="AA408" s="3" t="s">
        <v>5</v>
      </c>
    </row>
    <row r="409" spans="1:27">
      <c r="A409" t="s">
        <v>1020</v>
      </c>
      <c r="B409" s="8" t="s">
        <v>1019</v>
      </c>
      <c r="C409" t="s">
        <v>1021</v>
      </c>
      <c r="D409" s="7" t="s">
        <v>1018</v>
      </c>
      <c r="E409" s="1">
        <v>6.5000000000000002E-2</v>
      </c>
      <c r="F409" s="1">
        <v>0.2</v>
      </c>
      <c r="G409" s="1">
        <v>2.35</v>
      </c>
      <c r="H409" s="1">
        <v>-10</v>
      </c>
      <c r="I409" s="1">
        <v>5.5</v>
      </c>
      <c r="K409" s="1">
        <v>-24</v>
      </c>
      <c r="L409" s="1">
        <v>26.3</v>
      </c>
      <c r="M409" s="1">
        <v>0.6</v>
      </c>
      <c r="N409" s="1">
        <v>6.4000000000000001E-2</v>
      </c>
      <c r="Q409" s="118">
        <f t="shared" si="114"/>
        <v>2.554121337172178</v>
      </c>
      <c r="R409" s="119">
        <f t="shared" si="115"/>
        <v>740.69518777993164</v>
      </c>
      <c r="S409" s="118" t="str">
        <f t="shared" si="116"/>
        <v/>
      </c>
      <c r="T409" s="118">
        <f t="shared" si="117"/>
        <v>13.447051328184463</v>
      </c>
      <c r="U409" s="118">
        <f t="shared" si="118"/>
        <v>-15.776951342637858</v>
      </c>
      <c r="V409" s="118" t="e">
        <f t="shared" si="119"/>
        <v>#N/A</v>
      </c>
      <c r="W409" s="118" t="e">
        <f t="shared" si="120"/>
        <v>#N/A</v>
      </c>
      <c r="X409" s="118">
        <f>IF(OR(N409="",R409=""),NA(),10*LOG10((G409+'CMOS FOM coeff. calculation'!$Q$3)^'CMOS FOM coeff. calculation'!$P$3*(1000*E409)^'CMOS FOM coeff. calculation'!$N$3*R409^'CMOS FOM coeff. calculation'!$O$3*N409^'CMOS FOM coeff. calculation'!$M$3))</f>
        <v>13.627237802917321</v>
      </c>
      <c r="Y409" s="68"/>
      <c r="Z409" t="s">
        <v>2106</v>
      </c>
      <c r="AA409" s="3" t="s">
        <v>5</v>
      </c>
    </row>
    <row r="410" spans="1:27">
      <c r="A410" t="s">
        <v>1020</v>
      </c>
      <c r="B410" s="8" t="s">
        <v>1023</v>
      </c>
      <c r="C410" t="s">
        <v>733</v>
      </c>
      <c r="D410" s="7" t="s">
        <v>1022</v>
      </c>
      <c r="E410" s="1">
        <v>6.5000000000000002E-2</v>
      </c>
      <c r="F410" s="1">
        <v>0.2</v>
      </c>
      <c r="G410" s="1">
        <v>2.4</v>
      </c>
      <c r="H410" s="1">
        <v>-13.5</v>
      </c>
      <c r="I410" s="1">
        <v>2.8</v>
      </c>
      <c r="K410" s="1">
        <v>-10.7</v>
      </c>
      <c r="L410" s="1">
        <v>17.399999999999999</v>
      </c>
      <c r="M410" s="1">
        <v>0.7</v>
      </c>
      <c r="N410" s="1">
        <v>0.47499999999999998</v>
      </c>
      <c r="O410" s="1">
        <v>0.42</v>
      </c>
      <c r="Q410" s="118">
        <f t="shared" si="114"/>
        <v>0.92224277770766205</v>
      </c>
      <c r="R410" s="119">
        <f t="shared" si="115"/>
        <v>267.45040553522199</v>
      </c>
      <c r="S410" s="118" t="str">
        <f t="shared" si="116"/>
        <v/>
      </c>
      <c r="T410" s="118">
        <f t="shared" si="117"/>
        <v>11.863844960636587</v>
      </c>
      <c r="U410" s="118">
        <f t="shared" si="118"/>
        <v>-14.193744975089983</v>
      </c>
      <c r="V410" s="118" t="e">
        <f t="shared" si="119"/>
        <v>#N/A</v>
      </c>
      <c r="W410" s="118" t="e">
        <f t="shared" si="120"/>
        <v>#N/A</v>
      </c>
      <c r="X410" s="118">
        <f>IF(OR(N410="",R410=""),NA(),10*LOG10((G410+'CMOS FOM coeff. calculation'!$Q$3)^'CMOS FOM coeff. calculation'!$P$3*(1000*E410)^'CMOS FOM coeff. calculation'!$N$3*R410^'CMOS FOM coeff. calculation'!$O$3*N410^'CMOS FOM coeff. calculation'!$M$3))</f>
        <v>15.893978691278516</v>
      </c>
      <c r="Y410" s="68"/>
      <c r="Z410" t="s">
        <v>2107</v>
      </c>
      <c r="AA410" s="3" t="s">
        <v>5</v>
      </c>
    </row>
    <row r="411" spans="1:27">
      <c r="A411" t="s">
        <v>1025</v>
      </c>
      <c r="B411" s="8" t="s">
        <v>1026</v>
      </c>
      <c r="C411" t="s">
        <v>1027</v>
      </c>
      <c r="D411" s="7" t="s">
        <v>1024</v>
      </c>
      <c r="E411" s="1">
        <v>6.5000000000000002E-2</v>
      </c>
      <c r="F411" s="1">
        <v>12</v>
      </c>
      <c r="G411" s="1">
        <v>77</v>
      </c>
      <c r="H411" s="1">
        <v>-10</v>
      </c>
      <c r="I411" s="1">
        <v>6.48</v>
      </c>
      <c r="L411" s="1">
        <v>21.8</v>
      </c>
      <c r="M411" s="1">
        <v>1.2</v>
      </c>
      <c r="N411" s="1">
        <v>43.9</v>
      </c>
      <c r="P411" s="1">
        <v>0.42</v>
      </c>
      <c r="Q411" s="118">
        <f t="shared" si="114"/>
        <v>3.4692336742730836</v>
      </c>
      <c r="R411" s="119">
        <f t="shared" si="115"/>
        <v>1006.0777655391943</v>
      </c>
      <c r="S411" s="118" t="str">
        <f t="shared" si="116"/>
        <v/>
      </c>
      <c r="T411" s="118">
        <f t="shared" si="117"/>
        <v>14.128434343462906</v>
      </c>
      <c r="U411" s="118">
        <f t="shared" si="118"/>
        <v>-10.531163523304157</v>
      </c>
      <c r="V411" s="118" t="e">
        <f t="shared" si="119"/>
        <v>#N/A</v>
      </c>
      <c r="W411" s="118" t="e">
        <f t="shared" si="120"/>
        <v>#N/A</v>
      </c>
      <c r="X411" s="118">
        <f>IF(OR(N411="",R411=""),NA(),10*LOG10((G411+'CMOS FOM coeff. calculation'!$Q$3)^'CMOS FOM coeff. calculation'!$P$3*(1000*E411)^'CMOS FOM coeff. calculation'!$N$3*R411^'CMOS FOM coeff. calculation'!$O$3*N411^'CMOS FOM coeff. calculation'!$M$3))</f>
        <v>21.581677262354052</v>
      </c>
      <c r="Y411" s="68"/>
      <c r="Z411" t="s">
        <v>2108</v>
      </c>
      <c r="AA411" s="3" t="s">
        <v>5</v>
      </c>
    </row>
    <row r="412" spans="1:27">
      <c r="A412" t="s">
        <v>1025</v>
      </c>
      <c r="B412" s="8" t="s">
        <v>2032</v>
      </c>
      <c r="C412" t="s">
        <v>2033</v>
      </c>
      <c r="D412" s="7" t="s">
        <v>2034</v>
      </c>
      <c r="E412" s="1">
        <v>4.4999999999999998E-2</v>
      </c>
      <c r="F412" s="1">
        <v>17.5</v>
      </c>
      <c r="G412" s="1">
        <v>93.75</v>
      </c>
      <c r="H412" s="1">
        <v>-10</v>
      </c>
      <c r="I412" s="1">
        <v>4.2</v>
      </c>
      <c r="J412" s="1">
        <v>-21</v>
      </c>
      <c r="L412" s="1">
        <v>12</v>
      </c>
      <c r="M412" s="1">
        <v>0.5</v>
      </c>
      <c r="N412" s="1">
        <v>4.7</v>
      </c>
      <c r="P412" s="1">
        <v>0.42</v>
      </c>
      <c r="Q412" s="118">
        <f t="shared" si="114"/>
        <v>1.7400582448356174</v>
      </c>
      <c r="R412" s="119">
        <f t="shared" si="115"/>
        <v>504.61689100232906</v>
      </c>
      <c r="S412" s="118">
        <f t="shared" si="116"/>
        <v>0.11794925883217387</v>
      </c>
      <c r="T412" s="118">
        <f t="shared" si="117"/>
        <v>9.4566553564325986</v>
      </c>
      <c r="U412" s="118">
        <f t="shared" si="118"/>
        <v>-5.3131951941449502</v>
      </c>
      <c r="V412" s="118">
        <f t="shared" si="119"/>
        <v>-16.87527679607906</v>
      </c>
      <c r="W412" s="118">
        <f t="shared" si="120"/>
        <v>-12.731816633791411</v>
      </c>
      <c r="X412" s="118">
        <f>IF(OR(N412="",R412=""),NA(),10*LOG10((G412+'CMOS FOM coeff. calculation'!$Q$3)^'CMOS FOM coeff. calculation'!$P$3*(1000*E412)^'CMOS FOM coeff. calculation'!$N$3*R412^'CMOS FOM coeff. calculation'!$O$3*N412^'CMOS FOM coeff. calculation'!$M$3))</f>
        <v>26.566088762185505</v>
      </c>
      <c r="Y412" s="68"/>
      <c r="Z412" s="66" t="s">
        <v>2109</v>
      </c>
      <c r="AA412" s="64" t="s">
        <v>5</v>
      </c>
    </row>
    <row r="413" spans="1:27">
      <c r="A413" t="s">
        <v>1025</v>
      </c>
      <c r="B413" s="8" t="s">
        <v>2035</v>
      </c>
      <c r="C413" t="s">
        <v>2036</v>
      </c>
      <c r="D413" s="7" t="s">
        <v>2037</v>
      </c>
      <c r="E413" s="1">
        <v>2.1999999999999999E-2</v>
      </c>
      <c r="F413" s="1">
        <v>3</v>
      </c>
      <c r="G413" s="1">
        <v>70.5</v>
      </c>
      <c r="H413" s="1">
        <v>-10</v>
      </c>
      <c r="I413" s="1">
        <v>3.7</v>
      </c>
      <c r="J413" s="1">
        <v>-22.8</v>
      </c>
      <c r="L413" s="1">
        <v>20</v>
      </c>
      <c r="M413" s="1">
        <v>1</v>
      </c>
      <c r="N413" s="1">
        <v>10.8</v>
      </c>
      <c r="O413" s="1">
        <v>0.155</v>
      </c>
      <c r="P413" s="1">
        <v>0.54</v>
      </c>
      <c r="Q413" s="118">
        <f t="shared" si="114"/>
        <v>1.3578068841615374</v>
      </c>
      <c r="R413" s="119">
        <f t="shared" si="115"/>
        <v>393.76399640684582</v>
      </c>
      <c r="S413" s="118">
        <f t="shared" si="116"/>
        <v>0.51955938564727411</v>
      </c>
      <c r="T413" s="118">
        <f t="shared" si="117"/>
        <v>14.552896056478772</v>
      </c>
      <c r="U413" s="118">
        <f t="shared" si="118"/>
        <v>-12.962491874079898</v>
      </c>
      <c r="V413" s="118">
        <f t="shared" si="119"/>
        <v>-19.580897252155459</v>
      </c>
      <c r="W413" s="118">
        <f t="shared" si="120"/>
        <v>-17.990493069756585</v>
      </c>
      <c r="X413" s="118">
        <f>IF(OR(N413="",R413=""),NA(),10*LOG10((G413+'CMOS FOM coeff. calculation'!$Q$3)^'CMOS FOM coeff. calculation'!$P$3*(1000*E413)^'CMOS FOM coeff. calculation'!$N$3*R413^'CMOS FOM coeff. calculation'!$O$3*N413^'CMOS FOM coeff. calculation'!$M$3))</f>
        <v>22.530655424120162</v>
      </c>
      <c r="Y413" s="68"/>
      <c r="Z413" t="s">
        <v>2110</v>
      </c>
      <c r="AA413" s="3" t="s">
        <v>5</v>
      </c>
    </row>
    <row r="414" spans="1:27" ht="18.75">
      <c r="A414" s="2" t="s">
        <v>3161</v>
      </c>
      <c r="B414" s="8" t="s">
        <v>2552</v>
      </c>
      <c r="C414" t="s">
        <v>2553</v>
      </c>
      <c r="D414" t="s">
        <v>2554</v>
      </c>
      <c r="E414" s="1">
        <v>6.5000000000000002E-2</v>
      </c>
      <c r="F414" s="1">
        <f>32.5-24.9</f>
        <v>7.6000000000000014</v>
      </c>
      <c r="G414" s="1">
        <f>(32.5+24.9)/2</f>
        <v>28.7</v>
      </c>
      <c r="H414" s="1">
        <v>-10</v>
      </c>
      <c r="I414" s="1">
        <v>3.25</v>
      </c>
      <c r="J414" s="1">
        <v>-24</v>
      </c>
      <c r="L414" s="1">
        <v>18.329999999999998</v>
      </c>
      <c r="M414" s="1">
        <v>1.2</v>
      </c>
      <c r="N414" s="1">
        <f>1.2*17.1</f>
        <v>20.52</v>
      </c>
      <c r="O414" s="1">
        <f>0.49*0.23</f>
        <v>0.11270000000000001</v>
      </c>
      <c r="P414" s="1">
        <f>0.5*0.75</f>
        <v>0.375</v>
      </c>
      <c r="Q414" s="118">
        <f t="shared" si="114"/>
        <v>1.1300892173105415</v>
      </c>
      <c r="R414" s="119">
        <f t="shared" si="115"/>
        <v>327.72587302005701</v>
      </c>
      <c r="S414" s="118">
        <f t="shared" si="116"/>
        <v>0.26703809148354918</v>
      </c>
      <c r="T414" s="118">
        <f t="shared" si="117"/>
        <v>11.013661099438552</v>
      </c>
      <c r="U414" s="118">
        <f t="shared" si="118"/>
        <v>-8.0776157918359139</v>
      </c>
      <c r="V414" s="118">
        <f t="shared" si="119"/>
        <v>-18.201659080656007</v>
      </c>
      <c r="W414" s="118">
        <f t="shared" si="120"/>
        <v>-15.265613773053371</v>
      </c>
      <c r="X414" s="118">
        <f>IF(OR(N414="",R414=""),NA(),10*LOG10((G414+'CMOS FOM coeff. calculation'!$Q$3)^'CMOS FOM coeff. calculation'!$P$3*(1000*E414)^'CMOS FOM coeff. calculation'!$N$3*R414^'CMOS FOM coeff. calculation'!$O$3*N414^'CMOS FOM coeff. calculation'!$M$3))</f>
        <v>20.075588065930727</v>
      </c>
      <c r="Y414" s="68"/>
      <c r="Z414" s="66" t="s">
        <v>2555</v>
      </c>
      <c r="AA414" s="3"/>
    </row>
    <row r="415" spans="1:27">
      <c r="A415" s="2" t="s">
        <v>3161</v>
      </c>
      <c r="B415" s="8" t="s">
        <v>2557</v>
      </c>
      <c r="C415" t="s">
        <v>2558</v>
      </c>
      <c r="D415" s="7" t="s">
        <v>2559</v>
      </c>
      <c r="E415" s="1">
        <v>2.1999999999999999E-2</v>
      </c>
      <c r="F415" s="1">
        <v>15.1</v>
      </c>
      <c r="G415" s="1">
        <f>(34+19)/2</f>
        <v>26.5</v>
      </c>
      <c r="H415" s="1">
        <v>-4</v>
      </c>
      <c r="I415" s="1">
        <v>1.46</v>
      </c>
      <c r="J415" s="1">
        <v>-7.6</v>
      </c>
      <c r="K415" s="1">
        <v>3</v>
      </c>
      <c r="L415" s="1">
        <v>12</v>
      </c>
      <c r="M415" s="1">
        <v>1.3</v>
      </c>
      <c r="N415" s="1">
        <v>9.8000000000000007</v>
      </c>
      <c r="P415" s="1">
        <v>0.21</v>
      </c>
      <c r="Q415" s="118">
        <f t="shared" si="114"/>
        <v>0.42649749527738534</v>
      </c>
      <c r="R415" s="119">
        <f t="shared" si="115"/>
        <v>123.68427363044175</v>
      </c>
      <c r="S415" s="118">
        <f t="shared" si="116"/>
        <v>2.5804486204632284</v>
      </c>
      <c r="T415" s="118">
        <f t="shared" si="117"/>
        <v>12.215976865085086</v>
      </c>
      <c r="U415" s="118">
        <f t="shared" si="118"/>
        <v>-8.2860537074411873</v>
      </c>
      <c r="V415" s="118">
        <f t="shared" si="119"/>
        <v>-13.366641579200515</v>
      </c>
      <c r="W415" s="118">
        <f t="shared" si="120"/>
        <v>-9.4367184215566162</v>
      </c>
      <c r="X415" s="118">
        <f>IF(OR(N415="",R415=""),NA(),10*LOG10((G415+'CMOS FOM coeff. calculation'!$Q$3)^'CMOS FOM coeff. calculation'!$P$3*(1000*E415)^'CMOS FOM coeff. calculation'!$N$3*R415^'CMOS FOM coeff. calculation'!$O$3*N415^'CMOS FOM coeff. calculation'!$M$3))</f>
        <v>20.775564452797838</v>
      </c>
      <c r="Y415" s="68"/>
      <c r="Z415" s="83" t="s">
        <v>2560</v>
      </c>
      <c r="AA415" s="3"/>
    </row>
    <row r="416" spans="1:27">
      <c r="B416" s="8"/>
      <c r="D416" s="7"/>
      <c r="E416" s="1">
        <v>2.1999999999999999E-2</v>
      </c>
      <c r="F416" s="1">
        <v>16.7</v>
      </c>
      <c r="G416" s="1">
        <f>(40+23)/2</f>
        <v>31.5</v>
      </c>
      <c r="H416" s="1">
        <v>-6</v>
      </c>
      <c r="I416" s="1">
        <v>1.35</v>
      </c>
      <c r="J416" s="1">
        <v>-7.9</v>
      </c>
      <c r="K416" s="1">
        <v>1.4</v>
      </c>
      <c r="L416" s="1">
        <v>12.6</v>
      </c>
      <c r="M416" s="1">
        <v>1.3</v>
      </c>
      <c r="N416" s="1">
        <v>13</v>
      </c>
      <c r="P416" s="1">
        <v>0.21</v>
      </c>
      <c r="Q416" s="118">
        <f t="shared" si="114"/>
        <v>0.38578351773449265</v>
      </c>
      <c r="R416" s="119">
        <f t="shared" si="115"/>
        <v>111.87722014300287</v>
      </c>
      <c r="S416" s="118">
        <f t="shared" si="116"/>
        <v>2.7890282169304932</v>
      </c>
      <c r="T416" s="118">
        <f t="shared" si="117"/>
        <v>11.68887509329538</v>
      </c>
      <c r="U416" s="118">
        <f t="shared" si="118"/>
        <v>-7.6131535228034357</v>
      </c>
      <c r="V416" s="118">
        <f t="shared" si="119"/>
        <v>-13.386287356033355</v>
      </c>
      <c r="W416" s="118">
        <f t="shared" si="120"/>
        <v>-9.3105657855414101</v>
      </c>
      <c r="X416" s="118">
        <f>IF(OR(N416="",R416=""),NA(),10*LOG10((G416+'CMOS FOM coeff. calculation'!$Q$3)^'CMOS FOM coeff. calculation'!$P$3*(1000*E416)^'CMOS FOM coeff. calculation'!$N$3*R416^'CMOS FOM coeff. calculation'!$O$3*N416^'CMOS FOM coeff. calculation'!$M$3))</f>
        <v>21.928721061798761</v>
      </c>
      <c r="Y416" s="68"/>
      <c r="AA416" s="3"/>
    </row>
    <row r="417" spans="1:27">
      <c r="A417" s="2" t="s">
        <v>3161</v>
      </c>
      <c r="B417" s="8" t="s">
        <v>2561</v>
      </c>
      <c r="C417" t="s">
        <v>2562</v>
      </c>
      <c r="D417" s="7" t="s">
        <v>2563</v>
      </c>
      <c r="E417" s="1">
        <v>2.1999999999999999E-2</v>
      </c>
      <c r="F417" s="1">
        <v>10</v>
      </c>
      <c r="G417" s="1">
        <v>27</v>
      </c>
      <c r="H417" s="1">
        <v>-10</v>
      </c>
      <c r="I417" s="1">
        <v>1.7</v>
      </c>
      <c r="K417" s="1">
        <v>-13.4</v>
      </c>
      <c r="L417" s="1">
        <v>21.5</v>
      </c>
      <c r="M417" s="1">
        <v>1.05</v>
      </c>
      <c r="N417" s="1">
        <v>17.3</v>
      </c>
      <c r="O417" s="1">
        <f>0.28*0.18</f>
        <v>5.04E-2</v>
      </c>
      <c r="P417" s="1">
        <f>0.48*0.35</f>
        <v>0.16799999999999998</v>
      </c>
      <c r="Q417" s="118">
        <f t="shared" si="114"/>
        <v>0.48252439931175994</v>
      </c>
      <c r="R417" s="119">
        <f t="shared" si="115"/>
        <v>139.93207580041039</v>
      </c>
      <c r="S417" s="118" t="str">
        <f t="shared" si="116"/>
        <v/>
      </c>
      <c r="T417" s="118">
        <f t="shared" si="117"/>
        <v>13.52061895928513</v>
      </c>
      <c r="U417" s="118">
        <f t="shared" si="118"/>
        <v>-10.187285625951796</v>
      </c>
      <c r="V417" s="118" t="e">
        <f t="shared" si="119"/>
        <v>#N/A</v>
      </c>
      <c r="W417" s="118" t="e">
        <f t="shared" si="120"/>
        <v>#N/A</v>
      </c>
      <c r="X417" s="118">
        <f>IF(OR(N417="",R417=""),NA(),10*LOG10((G417+'CMOS FOM coeff. calculation'!$Q$3)^'CMOS FOM coeff. calculation'!$P$3*(1000*E417)^'CMOS FOM coeff. calculation'!$N$3*R417^'CMOS FOM coeff. calculation'!$O$3*N417^'CMOS FOM coeff. calculation'!$M$3))</f>
        <v>19.905555390279311</v>
      </c>
      <c r="Y417" s="68"/>
      <c r="Z417" s="66" t="s">
        <v>2564</v>
      </c>
      <c r="AA417" s="3"/>
    </row>
    <row r="418" spans="1:27">
      <c r="B418" s="8"/>
      <c r="D418" s="7"/>
      <c r="E418" s="1">
        <v>2.1999999999999999E-2</v>
      </c>
      <c r="F418" s="1">
        <v>10</v>
      </c>
      <c r="G418" s="1">
        <v>27</v>
      </c>
      <c r="H418" s="1">
        <v>-10</v>
      </c>
      <c r="I418" s="1">
        <v>2.1</v>
      </c>
      <c r="K418" s="1">
        <v>-14.4</v>
      </c>
      <c r="L418" s="1">
        <v>17.899999999999999</v>
      </c>
      <c r="M418" s="1">
        <v>1.05</v>
      </c>
      <c r="N418" s="1">
        <v>5.6</v>
      </c>
      <c r="O418" s="1">
        <f>0.28*0.18</f>
        <v>5.04E-2</v>
      </c>
      <c r="P418" s="1">
        <f>0.48*0.35</f>
        <v>0.16799999999999998</v>
      </c>
      <c r="Q418" s="118">
        <f t="shared" ref="Q418:Q439" si="121">IF(OR(I418="",L418=""),"",(10^(I418/10)-1)*10^(L418/10)/(10^(L418/10)-1))</f>
        <v>0.63206092526636026</v>
      </c>
      <c r="R418" s="119">
        <f t="shared" ref="R418:R439" si="122">IF(Q418="","",290*Q418)</f>
        <v>183.29766832724448</v>
      </c>
      <c r="S418" s="118" t="str">
        <f t="shared" ref="S418:S439" si="123">IF(OR(J418="",L418=""),"",10^(J418/10)*(10^(L418/10)-1))</f>
        <v/>
      </c>
      <c r="T418" s="118">
        <f t="shared" ref="T418:T455" si="124">IF(OR(Q418="",N418="",E418="",G418=""),NA(),10*LOG10(Q418*N418^(1/3)*E418^(-4/3)*G418^(-2/3)))</f>
        <v>13.060155343728699</v>
      </c>
      <c r="U418" s="118">
        <f t="shared" ref="U418:U455" si="125">IF(OR(ISNA(T418),F418=""),NA(),10*LOG10(F418^(1/3))-T418)</f>
        <v>-9.7268220103953649</v>
      </c>
      <c r="V418" s="118" t="e">
        <f t="shared" ref="V418:V452" si="126">IF(OR(ISNA(T418),S418=""),NA(),10*LOG10(S418^(1/3)*E418*G418^(1/3)/Q418/N418^(2/3)))</f>
        <v>#N/A</v>
      </c>
      <c r="W418" s="118" t="e">
        <f t="shared" ref="W418:W452" si="127">IF(OR(ISNA(V418),F418=""),NA(),V418+10*LOG10(F418^(1/3)))</f>
        <v>#N/A</v>
      </c>
      <c r="X418" s="118">
        <f>IF(OR(N418="",R418=""),NA(),10*LOG10((G418+'CMOS FOM coeff. calculation'!$Q$3)^'CMOS FOM coeff. calculation'!$P$3*(1000*E418)^'CMOS FOM coeff. calculation'!$N$3*R418^'CMOS FOM coeff. calculation'!$O$3*N418^'CMOS FOM coeff. calculation'!$M$3))</f>
        <v>19.830114568157502</v>
      </c>
      <c r="Y418" s="68"/>
      <c r="AA418" s="3"/>
    </row>
    <row r="419" spans="1:27">
      <c r="A419" s="2" t="s">
        <v>3161</v>
      </c>
      <c r="B419" s="8" t="s">
        <v>2565</v>
      </c>
      <c r="C419" t="s">
        <v>2510</v>
      </c>
      <c r="D419" s="7" t="s">
        <v>2566</v>
      </c>
      <c r="E419" s="1">
        <v>2.1999999999999999E-2</v>
      </c>
      <c r="F419" s="1">
        <v>20</v>
      </c>
      <c r="G419" s="1">
        <v>30</v>
      </c>
      <c r="H419" s="1">
        <v>-9</v>
      </c>
      <c r="I419" s="1">
        <v>3.1</v>
      </c>
      <c r="J419" s="1">
        <v>-20.399999999999999</v>
      </c>
      <c r="K419" s="1">
        <v>-13.2</v>
      </c>
      <c r="L419" s="1">
        <v>23</v>
      </c>
      <c r="M419" s="1">
        <v>1.6</v>
      </c>
      <c r="N419" s="1">
        <v>20.5</v>
      </c>
      <c r="O419" s="1">
        <f>0.57*0.38</f>
        <v>0.21659999999999999</v>
      </c>
      <c r="P419" s="1">
        <f>0.73*0.64</f>
        <v>0.4672</v>
      </c>
      <c r="Q419" s="118">
        <f t="shared" si="121"/>
        <v>1.0469853013377886</v>
      </c>
      <c r="R419" s="119">
        <f t="shared" si="122"/>
        <v>303.62573738795868</v>
      </c>
      <c r="S419" s="118">
        <f t="shared" si="123"/>
        <v>1.8105807502164231</v>
      </c>
      <c r="T419" s="118">
        <f t="shared" si="124"/>
        <v>16.825474607558576</v>
      </c>
      <c r="U419" s="118">
        <f t="shared" si="125"/>
        <v>-12.488707955345305</v>
      </c>
      <c r="V419" s="118">
        <f t="shared" si="126"/>
        <v>-19.737074267168392</v>
      </c>
      <c r="W419" s="118">
        <f t="shared" si="127"/>
        <v>-15.400307614955121</v>
      </c>
      <c r="X419" s="118">
        <f>IF(OR(N419="",R419=""),NA(),10*LOG10((G419+'CMOS FOM coeff. calculation'!$Q$3)^'CMOS FOM coeff. calculation'!$P$3*(1000*E419)^'CMOS FOM coeff. calculation'!$N$3*R419^'CMOS FOM coeff. calculation'!$O$3*N419^'CMOS FOM coeff. calculation'!$M$3))</f>
        <v>17.340849187715264</v>
      </c>
      <c r="Y419" s="68"/>
      <c r="Z419" s="66" t="s">
        <v>2567</v>
      </c>
      <c r="AA419" s="3"/>
    </row>
    <row r="420" spans="1:27">
      <c r="B420" s="8"/>
      <c r="D420" s="7"/>
      <c r="E420" s="1">
        <v>2.1999999999999999E-2</v>
      </c>
      <c r="F420" s="1">
        <v>20</v>
      </c>
      <c r="G420" s="1">
        <v>30</v>
      </c>
      <c r="H420" s="1">
        <v>-9</v>
      </c>
      <c r="I420" s="1">
        <v>3.4</v>
      </c>
      <c r="J420" s="1">
        <v>-27</v>
      </c>
      <c r="K420" s="1">
        <v>-19</v>
      </c>
      <c r="L420" s="1">
        <v>18.2</v>
      </c>
      <c r="M420" s="1">
        <v>1</v>
      </c>
      <c r="N420" s="1">
        <v>12.1</v>
      </c>
      <c r="O420" s="1">
        <f>0.57*0.38</f>
        <v>0.21659999999999999</v>
      </c>
      <c r="P420" s="1">
        <f>0.73*0.64</f>
        <v>0.4672</v>
      </c>
      <c r="Q420" s="118">
        <f t="shared" si="121"/>
        <v>1.2060154057816341</v>
      </c>
      <c r="R420" s="119">
        <f t="shared" si="122"/>
        <v>349.74446767667388</v>
      </c>
      <c r="S420" s="118">
        <f t="shared" si="123"/>
        <v>0.12983041154067176</v>
      </c>
      <c r="T420" s="118">
        <f t="shared" si="124"/>
        <v>16.676369014307625</v>
      </c>
      <c r="U420" s="118">
        <f t="shared" si="125"/>
        <v>-12.339602362094354</v>
      </c>
      <c r="V420" s="118">
        <f t="shared" si="126"/>
        <v>-22.639545254709045</v>
      </c>
      <c r="W420" s="118">
        <f t="shared" si="127"/>
        <v>-18.302778602495774</v>
      </c>
      <c r="X420" s="118">
        <f>IF(OR(N420="",R420=""),NA(),10*LOG10((G420+'CMOS FOM coeff. calculation'!$Q$3)^'CMOS FOM coeff. calculation'!$P$3*(1000*E420)^'CMOS FOM coeff. calculation'!$N$3*R420^'CMOS FOM coeff. calculation'!$O$3*N420^'CMOS FOM coeff. calculation'!$M$3))</f>
        <v>17.246075730901811</v>
      </c>
      <c r="Y420" s="68"/>
      <c r="AA420" s="3"/>
    </row>
    <row r="421" spans="1:27">
      <c r="A421" s="2" t="s">
        <v>3162</v>
      </c>
      <c r="B421" s="8" t="s">
        <v>2720</v>
      </c>
      <c r="C421" t="s">
        <v>2721</v>
      </c>
      <c r="D421" s="7" t="s">
        <v>2722</v>
      </c>
      <c r="E421" s="1">
        <v>6.5000000000000002E-2</v>
      </c>
      <c r="F421" s="1">
        <v>8</v>
      </c>
      <c r="G421" s="1">
        <v>57</v>
      </c>
      <c r="H421" s="1">
        <v>-10</v>
      </c>
      <c r="I421" s="1">
        <v>4.8</v>
      </c>
      <c r="J421" s="1">
        <v>-22</v>
      </c>
      <c r="L421" s="1">
        <v>25</v>
      </c>
      <c r="M421" s="1">
        <v>1.3</v>
      </c>
      <c r="N421" s="1">
        <v>36.5</v>
      </c>
      <c r="P421" s="1">
        <v>0.26</v>
      </c>
      <c r="Q421" s="118">
        <f t="shared" si="121"/>
        <v>2.0263596321983846</v>
      </c>
      <c r="R421" s="119">
        <f t="shared" si="122"/>
        <v>587.64429333753151</v>
      </c>
      <c r="S421" s="118">
        <f t="shared" si="123"/>
        <v>1.9889527415240773</v>
      </c>
      <c r="T421" s="118">
        <f t="shared" si="124"/>
        <v>12.396797673201378</v>
      </c>
      <c r="U421" s="118">
        <f t="shared" si="125"/>
        <v>-9.3864977165615677</v>
      </c>
      <c r="V421" s="118">
        <f t="shared" si="126"/>
        <v>-18.504986381771509</v>
      </c>
      <c r="W421" s="118">
        <f t="shared" si="127"/>
        <v>-15.494686425131697</v>
      </c>
      <c r="X421" s="118">
        <f>IF(OR(N421="",R421=""),NA(),10*LOG10((G421+'CMOS FOM coeff. calculation'!$Q$3)^'CMOS FOM coeff. calculation'!$P$3*(1000*E421)^'CMOS FOM coeff. calculation'!$N$3*R421^'CMOS FOM coeff. calculation'!$O$3*N421^'CMOS FOM coeff. calculation'!$M$3))</f>
        <v>21.69337693297253</v>
      </c>
      <c r="Y421" s="68"/>
      <c r="AA421" s="3"/>
    </row>
    <row r="422" spans="1:27">
      <c r="B422" s="8"/>
      <c r="D422" s="7"/>
      <c r="E422" s="1">
        <v>6.5000000000000002E-2</v>
      </c>
      <c r="F422" s="1">
        <v>5.5</v>
      </c>
      <c r="G422" s="1">
        <v>57</v>
      </c>
      <c r="J422" s="1">
        <v>-7</v>
      </c>
      <c r="L422" s="1">
        <v>8</v>
      </c>
      <c r="M422" s="1">
        <v>1.3</v>
      </c>
      <c r="N422" s="1">
        <v>19.5</v>
      </c>
      <c r="P422" s="1">
        <v>0.26</v>
      </c>
      <c r="Q422" s="118" t="str">
        <f t="shared" si="121"/>
        <v/>
      </c>
      <c r="R422" s="119" t="str">
        <f t="shared" si="122"/>
        <v/>
      </c>
      <c r="S422" s="118">
        <f t="shared" si="123"/>
        <v>1.0593991802972795</v>
      </c>
      <c r="T422" s="118" t="e">
        <f t="shared" si="124"/>
        <v>#N/A</v>
      </c>
      <c r="U422" s="118" t="e">
        <f t="shared" si="125"/>
        <v>#N/A</v>
      </c>
      <c r="V422" s="118" t="e">
        <f t="shared" si="126"/>
        <v>#N/A</v>
      </c>
      <c r="W422" s="118" t="e">
        <f t="shared" si="127"/>
        <v>#N/A</v>
      </c>
      <c r="X422" s="118" t="e">
        <f>IF(OR(N422="",R422=""),NA(),10*LOG10((G422+'CMOS FOM coeff. calculation'!$Q$3)^'CMOS FOM coeff. calculation'!$P$3*(1000*E422)^'CMOS FOM coeff. calculation'!$N$3*R422^'CMOS FOM coeff. calculation'!$O$3*N422^'CMOS FOM coeff. calculation'!$M$3))</f>
        <v>#N/A</v>
      </c>
      <c r="Y422" s="68"/>
      <c r="AA422" s="3"/>
    </row>
    <row r="423" spans="1:27">
      <c r="A423" s="2" t="s">
        <v>3162</v>
      </c>
      <c r="B423" s="8" t="s">
        <v>2726</v>
      </c>
      <c r="C423" t="s">
        <v>2727</v>
      </c>
      <c r="D423" s="7" t="s">
        <v>2728</v>
      </c>
      <c r="E423" s="1">
        <v>2.1999999999999999E-2</v>
      </c>
      <c r="F423" s="1">
        <v>4</v>
      </c>
      <c r="G423" s="1">
        <v>28</v>
      </c>
      <c r="H423" s="1">
        <v>-10</v>
      </c>
      <c r="I423" s="1">
        <v>3.2</v>
      </c>
      <c r="J423" s="1">
        <v>-13</v>
      </c>
      <c r="K423" s="1">
        <v>-5.4</v>
      </c>
      <c r="L423" s="1">
        <v>15.6</v>
      </c>
      <c r="M423" s="1">
        <v>1.4</v>
      </c>
      <c r="N423" s="1">
        <v>30.7</v>
      </c>
      <c r="Q423" s="118">
        <f t="shared" si="121"/>
        <v>1.1201475563713605</v>
      </c>
      <c r="R423" s="119">
        <f t="shared" si="122"/>
        <v>324.84279134769457</v>
      </c>
      <c r="S423" s="118">
        <f t="shared" si="123"/>
        <v>1.7695821352472565</v>
      </c>
      <c r="T423" s="118">
        <f t="shared" si="124"/>
        <v>17.903190989603559</v>
      </c>
      <c r="U423" s="118">
        <f t="shared" si="125"/>
        <v>-15.896324351843685</v>
      </c>
      <c r="V423" s="118">
        <f t="shared" si="126"/>
        <v>-21.332685530934175</v>
      </c>
      <c r="W423" s="118">
        <f t="shared" si="127"/>
        <v>-19.325818893174301</v>
      </c>
      <c r="X423" s="118">
        <f>IF(OR(N423="",R423=""),NA(),10*LOG10((G423+'CMOS FOM coeff. calculation'!$Q$3)^'CMOS FOM coeff. calculation'!$P$3*(1000*E423)^'CMOS FOM coeff. calculation'!$N$3*R423^'CMOS FOM coeff. calculation'!$O$3*N423^'CMOS FOM coeff. calculation'!$M$3))</f>
        <v>16.323871930812508</v>
      </c>
      <c r="Y423" s="68"/>
      <c r="Z423" s="66" t="s">
        <v>2816</v>
      </c>
      <c r="AA423" s="3"/>
    </row>
    <row r="424" spans="1:27">
      <c r="A424" s="2" t="s">
        <v>3162</v>
      </c>
      <c r="B424" s="8" t="s">
        <v>2729</v>
      </c>
      <c r="C424" t="s">
        <v>2730</v>
      </c>
      <c r="D424" s="7" t="s">
        <v>2731</v>
      </c>
      <c r="E424" s="1">
        <v>6.5000000000000002E-2</v>
      </c>
      <c r="F424" s="1">
        <v>7.6</v>
      </c>
      <c r="G424" s="1">
        <v>19</v>
      </c>
      <c r="I424" s="1">
        <v>2.1</v>
      </c>
      <c r="M424" s="1">
        <v>1.05</v>
      </c>
      <c r="O424" s="1">
        <v>7.1999999999999995E-2</v>
      </c>
      <c r="Q424" s="118" t="str">
        <f t="shared" si="121"/>
        <v/>
      </c>
      <c r="R424" s="119" t="str">
        <f t="shared" si="122"/>
        <v/>
      </c>
      <c r="S424" s="118" t="str">
        <f t="shared" si="123"/>
        <v/>
      </c>
      <c r="T424" s="118" t="e">
        <f t="shared" si="124"/>
        <v>#N/A</v>
      </c>
      <c r="U424" s="118" t="e">
        <f t="shared" si="125"/>
        <v>#N/A</v>
      </c>
      <c r="V424" s="118" t="e">
        <f t="shared" si="126"/>
        <v>#N/A</v>
      </c>
      <c r="W424" s="118" t="e">
        <f t="shared" si="127"/>
        <v>#N/A</v>
      </c>
      <c r="X424" s="118" t="e">
        <f>IF(OR(N424="",R424=""),NA(),10*LOG10((G424+'CMOS FOM coeff. calculation'!$Q$3)^'CMOS FOM coeff. calculation'!$P$3*(1000*E424)^'CMOS FOM coeff. calculation'!$N$3*R424^'CMOS FOM coeff. calculation'!$O$3*N424^'CMOS FOM coeff. calculation'!$M$3))</f>
        <v>#N/A</v>
      </c>
      <c r="Y424" s="68"/>
      <c r="Z424" s="66" t="s">
        <v>2817</v>
      </c>
      <c r="AA424" s="3"/>
    </row>
    <row r="425" spans="1:27">
      <c r="B425" s="8"/>
      <c r="D425" s="7"/>
      <c r="E425" s="1">
        <v>6.5000000000000002E-2</v>
      </c>
      <c r="F425" s="1">
        <v>7.6</v>
      </c>
      <c r="G425" s="1">
        <v>19</v>
      </c>
      <c r="I425" s="1">
        <v>7</v>
      </c>
      <c r="M425" s="1">
        <v>1.05</v>
      </c>
      <c r="O425" s="1">
        <v>7.1999999999999995E-2</v>
      </c>
      <c r="Q425" s="118" t="str">
        <f t="shared" si="121"/>
        <v/>
      </c>
      <c r="R425" s="119" t="str">
        <f t="shared" si="122"/>
        <v/>
      </c>
      <c r="S425" s="118" t="str">
        <f t="shared" si="123"/>
        <v/>
      </c>
      <c r="T425" s="118" t="e">
        <f t="shared" si="124"/>
        <v>#N/A</v>
      </c>
      <c r="U425" s="118" t="e">
        <f t="shared" si="125"/>
        <v>#N/A</v>
      </c>
      <c r="V425" s="118" t="e">
        <f t="shared" si="126"/>
        <v>#N/A</v>
      </c>
      <c r="W425" s="118" t="e">
        <f t="shared" si="127"/>
        <v>#N/A</v>
      </c>
      <c r="X425" s="118" t="e">
        <f>IF(OR(N425="",R425=""),NA(),10*LOG10((G425+'CMOS FOM coeff. calculation'!$Q$3)^'CMOS FOM coeff. calculation'!$P$3*(1000*E425)^'CMOS FOM coeff. calculation'!$N$3*R425^'CMOS FOM coeff. calculation'!$O$3*N425^'CMOS FOM coeff. calculation'!$M$3))</f>
        <v>#N/A</v>
      </c>
      <c r="Y425" s="68"/>
      <c r="AA425" s="3"/>
    </row>
    <row r="426" spans="1:27">
      <c r="A426" s="2" t="s">
        <v>3162</v>
      </c>
      <c r="B426" s="8" t="s">
        <v>2736</v>
      </c>
      <c r="C426" t="s">
        <v>2737</v>
      </c>
      <c r="D426" s="7" t="s">
        <v>2738</v>
      </c>
      <c r="E426" s="1">
        <v>0.06</v>
      </c>
      <c r="F426" s="1">
        <v>0.77500000000000002</v>
      </c>
      <c r="G426" s="1">
        <v>5.5</v>
      </c>
      <c r="H426" s="1">
        <v>-11</v>
      </c>
      <c r="I426" s="1">
        <v>1.32</v>
      </c>
      <c r="K426" s="1">
        <v>-8.1999999999999993</v>
      </c>
      <c r="L426" s="1">
        <v>16.7</v>
      </c>
      <c r="M426" s="1">
        <v>1.2</v>
      </c>
      <c r="N426" s="1">
        <v>6</v>
      </c>
      <c r="O426" s="1">
        <v>0.8</v>
      </c>
      <c r="Q426" s="118">
        <f t="shared" si="121"/>
        <v>0.36294912709245203</v>
      </c>
      <c r="R426" s="119">
        <f t="shared" si="122"/>
        <v>105.25524685681108</v>
      </c>
      <c r="S426" s="118" t="str">
        <f t="shared" si="123"/>
        <v/>
      </c>
      <c r="T426" s="118">
        <f t="shared" si="124"/>
        <v>9.5478604619804504</v>
      </c>
      <c r="U426" s="118">
        <f t="shared" si="125"/>
        <v>-9.9168547869594157</v>
      </c>
      <c r="V426" s="118" t="e">
        <f t="shared" si="126"/>
        <v>#N/A</v>
      </c>
      <c r="W426" s="118" t="e">
        <f t="shared" si="127"/>
        <v>#N/A</v>
      </c>
      <c r="X426" s="118">
        <f>IF(OR(N426="",R426=""),NA(),10*LOG10((G426+'CMOS FOM coeff. calculation'!$Q$3)^'CMOS FOM coeff. calculation'!$P$3*(1000*E426)^'CMOS FOM coeff. calculation'!$N$3*R426^'CMOS FOM coeff. calculation'!$O$3*N426^'CMOS FOM coeff. calculation'!$M$3))</f>
        <v>18.57988698785881</v>
      </c>
      <c r="Y426" s="68"/>
      <c r="Z426" s="66" t="s">
        <v>2818</v>
      </c>
      <c r="AA426" s="3"/>
    </row>
    <row r="427" spans="1:27">
      <c r="A427" s="2"/>
      <c r="B427" s="8"/>
      <c r="D427" s="7"/>
      <c r="E427" s="1">
        <v>0.06</v>
      </c>
      <c r="F427" s="1">
        <v>0.77500000000000002</v>
      </c>
      <c r="G427" s="1">
        <v>5.5</v>
      </c>
      <c r="H427" s="1">
        <v>-10</v>
      </c>
      <c r="I427" s="1">
        <v>1.89</v>
      </c>
      <c r="K427" s="1">
        <v>-7.5</v>
      </c>
      <c r="L427" s="1">
        <v>15.6</v>
      </c>
      <c r="M427" s="1">
        <v>1.2</v>
      </c>
      <c r="N427" s="1">
        <v>6</v>
      </c>
      <c r="O427" s="1">
        <v>0.8</v>
      </c>
      <c r="Q427" s="118">
        <f t="shared" si="121"/>
        <v>0.5606973262364684</v>
      </c>
      <c r="R427" s="119">
        <f t="shared" si="122"/>
        <v>162.60222460857582</v>
      </c>
      <c r="S427" s="118" t="str">
        <f t="shared" si="123"/>
        <v/>
      </c>
      <c r="T427" s="118">
        <f t="shared" si="124"/>
        <v>11.436687750630501</v>
      </c>
      <c r="U427" s="118">
        <f t="shared" si="125"/>
        <v>-11.805682075609466</v>
      </c>
      <c r="V427" s="118" t="e">
        <f t="shared" si="126"/>
        <v>#N/A</v>
      </c>
      <c r="W427" s="118" t="e">
        <f t="shared" si="127"/>
        <v>#N/A</v>
      </c>
      <c r="X427" s="118">
        <f>IF(OR(N427="",R427=""),NA(),10*LOG10((G427+'CMOS FOM coeff. calculation'!$Q$3)^'CMOS FOM coeff. calculation'!$P$3*(1000*E427)^'CMOS FOM coeff. calculation'!$N$3*R427^'CMOS FOM coeff. calculation'!$O$3*N427^'CMOS FOM coeff. calculation'!$M$3))</f>
        <v>16.879942428073761</v>
      </c>
      <c r="Y427" s="68"/>
      <c r="AA427" s="3"/>
    </row>
    <row r="428" spans="1:27">
      <c r="A428" s="2" t="s">
        <v>3162</v>
      </c>
      <c r="B428" s="8" t="s">
        <v>2735</v>
      </c>
      <c r="C428" t="s">
        <v>2739</v>
      </c>
      <c r="D428" s="7" t="s">
        <v>2740</v>
      </c>
      <c r="E428" s="1">
        <v>2.1999999999999999E-2</v>
      </c>
      <c r="F428" s="1">
        <v>1</v>
      </c>
      <c r="G428" s="1">
        <v>5.5</v>
      </c>
      <c r="H428" s="1">
        <v>-5</v>
      </c>
      <c r="I428" s="1">
        <v>1.9</v>
      </c>
      <c r="J428" s="1">
        <v>-29.2</v>
      </c>
      <c r="K428" s="1">
        <v>-19.899999999999999</v>
      </c>
      <c r="L428" s="1">
        <v>30.5</v>
      </c>
      <c r="M428" s="1">
        <v>1</v>
      </c>
      <c r="N428" s="1">
        <v>39</v>
      </c>
      <c r="O428" s="1">
        <v>0.84499999999999997</v>
      </c>
      <c r="Q428" s="118">
        <f t="shared" si="121"/>
        <v>0.54930618856836566</v>
      </c>
      <c r="R428" s="119">
        <f t="shared" si="122"/>
        <v>159.29879468482605</v>
      </c>
      <c r="S428" s="118">
        <f t="shared" si="123"/>
        <v>1.3477606181570359</v>
      </c>
      <c r="T428" s="118">
        <f t="shared" si="124"/>
        <v>19.866973267940299</v>
      </c>
      <c r="U428" s="118">
        <f t="shared" si="125"/>
        <v>-19.866973267940299</v>
      </c>
      <c r="V428" s="118">
        <f t="shared" si="126"/>
        <v>-21.681097318927335</v>
      </c>
      <c r="W428" s="118">
        <f t="shared" si="127"/>
        <v>-21.681097318927335</v>
      </c>
      <c r="X428" s="118">
        <f>IF(OR(N428="",R428=""),NA(),10*LOG10((G428+'CMOS FOM coeff. calculation'!$Q$3)^'CMOS FOM coeff. calculation'!$P$3*(1000*E428)^'CMOS FOM coeff. calculation'!$N$3*R428^'CMOS FOM coeff. calculation'!$O$3*N428^'CMOS FOM coeff. calculation'!$M$3))</f>
        <v>12.284241666944983</v>
      </c>
      <c r="Y428" s="68"/>
      <c r="Z428" s="66" t="s">
        <v>2741</v>
      </c>
      <c r="AA428" s="3"/>
    </row>
    <row r="429" spans="1:27">
      <c r="A429" s="2" t="s">
        <v>3162</v>
      </c>
      <c r="B429" s="8" t="s">
        <v>2742</v>
      </c>
      <c r="C429" t="s">
        <v>2743</v>
      </c>
      <c r="D429" s="7" t="s">
        <v>2744</v>
      </c>
      <c r="E429" s="1">
        <v>2.8000000000000001E-2</v>
      </c>
      <c r="F429" s="1">
        <v>5</v>
      </c>
      <c r="G429" s="1">
        <v>3.5</v>
      </c>
      <c r="H429" s="1">
        <v>-10</v>
      </c>
      <c r="I429" s="1">
        <v>3.4</v>
      </c>
      <c r="K429" s="1">
        <v>-10</v>
      </c>
      <c r="L429" s="1">
        <v>48.2</v>
      </c>
      <c r="N429" s="1">
        <v>22.2</v>
      </c>
      <c r="O429" s="1">
        <v>0.08</v>
      </c>
      <c r="Q429" s="118">
        <f t="shared" si="121"/>
        <v>1.1877796017213211</v>
      </c>
      <c r="R429" s="119">
        <f t="shared" si="122"/>
        <v>344.45608449918313</v>
      </c>
      <c r="S429" s="118" t="str">
        <f t="shared" si="123"/>
        <v/>
      </c>
      <c r="T429" s="118">
        <f t="shared" si="124"/>
        <v>22.312641161290216</v>
      </c>
      <c r="U429" s="118">
        <f t="shared" si="125"/>
        <v>-19.982741146836819</v>
      </c>
      <c r="V429" s="118" t="e">
        <f t="shared" si="126"/>
        <v>#N/A</v>
      </c>
      <c r="W429" s="118" t="e">
        <f t="shared" si="127"/>
        <v>#N/A</v>
      </c>
      <c r="X429" s="118">
        <f>IF(OR(N429="",R429=""),NA(),10*LOG10((G429+'CMOS FOM coeff. calculation'!$Q$3)^'CMOS FOM coeff. calculation'!$P$3*(1000*E429)^'CMOS FOM coeff. calculation'!$N$3*R429^'CMOS FOM coeff. calculation'!$O$3*N429^'CMOS FOM coeff. calculation'!$M$3))</f>
        <v>9.5626608526222228</v>
      </c>
      <c r="Y429" s="68"/>
      <c r="Z429" s="66" t="s">
        <v>2745</v>
      </c>
      <c r="AA429" s="3"/>
    </row>
    <row r="430" spans="1:27">
      <c r="A430" s="2" t="s">
        <v>3163</v>
      </c>
      <c r="B430" s="8" t="s">
        <v>2966</v>
      </c>
      <c r="C430" t="s">
        <v>2967</v>
      </c>
      <c r="D430" s="7" t="s">
        <v>2968</v>
      </c>
      <c r="E430" s="1">
        <v>2.1999999999999999E-2</v>
      </c>
      <c r="F430" s="1">
        <v>19</v>
      </c>
      <c r="G430" s="1">
        <v>136.5</v>
      </c>
      <c r="H430" s="1">
        <v>-10</v>
      </c>
      <c r="I430" s="1">
        <v>9.1999999999999993</v>
      </c>
      <c r="J430" s="1">
        <v>-24</v>
      </c>
      <c r="L430" s="1">
        <v>20</v>
      </c>
      <c r="N430" s="1">
        <v>20</v>
      </c>
      <c r="O430" s="1">
        <v>3.2000000000000001E-2</v>
      </c>
      <c r="Q430" s="118">
        <f t="shared" si="121"/>
        <v>7.391553243461324</v>
      </c>
      <c r="R430" s="119">
        <f t="shared" si="122"/>
        <v>2143.550440603784</v>
      </c>
      <c r="S430" s="118">
        <f t="shared" si="123"/>
        <v>0.39412609884796218</v>
      </c>
      <c r="T430" s="118">
        <f t="shared" si="124"/>
        <v>20.890936994708042</v>
      </c>
      <c r="U430" s="118">
        <f t="shared" si="125"/>
        <v>-16.628424991531947</v>
      </c>
      <c r="V430" s="118">
        <f t="shared" si="126"/>
        <v>-28.167437438926083</v>
      </c>
      <c r="W430" s="118">
        <f t="shared" si="127"/>
        <v>-23.904925435749988</v>
      </c>
      <c r="X430" s="118">
        <f>IF(OR(N430="",R430=""),NA(),10*LOG10((G430+'CMOS FOM coeff. calculation'!$Q$3)^'CMOS FOM coeff. calculation'!$P$3*(1000*E430)^'CMOS FOM coeff. calculation'!$N$3*R430^'CMOS FOM coeff. calculation'!$O$3*N430^'CMOS FOM coeff. calculation'!$M$3))</f>
        <v>20.376960453257098</v>
      </c>
      <c r="Y430" s="68"/>
      <c r="Z430" s="66" t="s">
        <v>2969</v>
      </c>
      <c r="AA430" s="3"/>
    </row>
    <row r="431" spans="1:27">
      <c r="A431" s="2" t="s">
        <v>3163</v>
      </c>
      <c r="B431" s="8" t="s">
        <v>2970</v>
      </c>
      <c r="C431" t="s">
        <v>2971</v>
      </c>
      <c r="D431" s="7" t="s">
        <v>2972</v>
      </c>
      <c r="E431" s="1">
        <v>4.4999999999999998E-2</v>
      </c>
      <c r="F431" s="1">
        <v>3</v>
      </c>
      <c r="G431" s="1">
        <v>29</v>
      </c>
      <c r="H431" s="1">
        <v>-9</v>
      </c>
      <c r="I431" s="1">
        <v>2.7</v>
      </c>
      <c r="J431" s="1">
        <v>-19.2</v>
      </c>
      <c r="K431" s="1">
        <v>-9.3000000000000007</v>
      </c>
      <c r="L431" s="1">
        <v>23</v>
      </c>
      <c r="N431" s="1">
        <v>28</v>
      </c>
      <c r="O431" s="1">
        <v>0.252</v>
      </c>
      <c r="Q431" s="118">
        <f t="shared" si="121"/>
        <v>0.86642957106139873</v>
      </c>
      <c r="R431" s="119">
        <f t="shared" si="122"/>
        <v>251.26457560780563</v>
      </c>
      <c r="S431" s="118">
        <f t="shared" si="123"/>
        <v>2.3868102746733162</v>
      </c>
      <c r="T431" s="118">
        <f t="shared" si="124"/>
        <v>12.409039263983683</v>
      </c>
      <c r="U431" s="118">
        <f t="shared" si="125"/>
        <v>-10.818635081584809</v>
      </c>
      <c r="V431" s="118">
        <f t="shared" si="126"/>
        <v>-16.358874744989819</v>
      </c>
      <c r="W431" s="118">
        <f t="shared" si="127"/>
        <v>-14.768470562590945</v>
      </c>
      <c r="X431" s="118">
        <f>IF(OR(N431="",R431=""),NA(),10*LOG10((G431+'CMOS FOM coeff. calculation'!$Q$3)^'CMOS FOM coeff. calculation'!$P$3*(1000*E431)^'CMOS FOM coeff. calculation'!$N$3*R431^'CMOS FOM coeff. calculation'!$O$3*N431^'CMOS FOM coeff. calculation'!$M$3))</f>
        <v>19.786665092694079</v>
      </c>
      <c r="Y431" s="68"/>
      <c r="Z431" s="66" t="s">
        <v>2973</v>
      </c>
      <c r="AA431" s="3"/>
    </row>
    <row r="432" spans="1:27">
      <c r="A432" s="2"/>
      <c r="B432" s="8"/>
      <c r="D432" s="7"/>
      <c r="E432" s="1">
        <v>4.4999999999999998E-2</v>
      </c>
      <c r="F432" s="1">
        <v>3</v>
      </c>
      <c r="G432" s="1">
        <v>38</v>
      </c>
      <c r="H432" s="1">
        <v>-10</v>
      </c>
      <c r="I432" s="1">
        <v>2.2999999999999998</v>
      </c>
      <c r="J432" s="1">
        <v>-29.5</v>
      </c>
      <c r="K432" s="1">
        <v>-12.9</v>
      </c>
      <c r="L432" s="1">
        <v>25</v>
      </c>
      <c r="N432" s="1">
        <v>18.600000000000001</v>
      </c>
      <c r="O432" s="1">
        <v>0.2006</v>
      </c>
      <c r="Q432" s="118">
        <f t="shared" si="121"/>
        <v>0.70045869735225197</v>
      </c>
      <c r="R432" s="119">
        <f t="shared" si="122"/>
        <v>203.13302223215308</v>
      </c>
      <c r="S432" s="118">
        <f t="shared" si="123"/>
        <v>0.35369137077927343</v>
      </c>
      <c r="T432" s="118">
        <f t="shared" si="124"/>
        <v>10.110810974345323</v>
      </c>
      <c r="U432" s="118">
        <f t="shared" si="125"/>
        <v>-8.5204067919464492</v>
      </c>
      <c r="V432" s="118">
        <f t="shared" si="126"/>
        <v>-16.623759609042949</v>
      </c>
      <c r="W432" s="118">
        <f t="shared" si="127"/>
        <v>-15.033355426644075</v>
      </c>
      <c r="X432" s="118">
        <f>IF(OR(N432="",R432=""),NA(),10*LOG10((G432+'CMOS FOM coeff. calculation'!$Q$3)^'CMOS FOM coeff. calculation'!$P$3*(1000*E432)^'CMOS FOM coeff. calculation'!$N$3*R432^'CMOS FOM coeff. calculation'!$O$3*N432^'CMOS FOM coeff. calculation'!$M$3))</f>
        <v>22.616846997684185</v>
      </c>
      <c r="Y432" s="68"/>
      <c r="Z432" s="66"/>
      <c r="AA432" s="3"/>
    </row>
    <row r="433" spans="1:27">
      <c r="A433" s="2" t="s">
        <v>3163</v>
      </c>
      <c r="B433" s="8" t="s">
        <v>2976</v>
      </c>
      <c r="C433" t="s">
        <v>2977</v>
      </c>
      <c r="D433" s="7" t="s">
        <v>2978</v>
      </c>
      <c r="E433" s="1">
        <v>2.8000000000000001E-2</v>
      </c>
      <c r="F433" s="1">
        <v>20.8</v>
      </c>
      <c r="G433" s="1">
        <v>32.6</v>
      </c>
      <c r="H433" s="1">
        <v>-10</v>
      </c>
      <c r="I433" s="1">
        <v>3.5</v>
      </c>
      <c r="J433" s="1">
        <v>-13.6</v>
      </c>
      <c r="K433" s="1">
        <v>-1.9</v>
      </c>
      <c r="L433" s="1">
        <v>21.1</v>
      </c>
      <c r="M433" s="1">
        <v>1</v>
      </c>
      <c r="N433" s="1">
        <v>22.3</v>
      </c>
      <c r="O433" s="1">
        <v>0.23200000000000001</v>
      </c>
      <c r="P433" s="1">
        <v>0.33300000000000002</v>
      </c>
      <c r="Q433" s="118">
        <f t="shared" si="121"/>
        <v>1.2484118999453144</v>
      </c>
      <c r="R433" s="119">
        <f t="shared" si="122"/>
        <v>362.03945098414118</v>
      </c>
      <c r="S433" s="118">
        <f t="shared" si="123"/>
        <v>5.5797616686794811</v>
      </c>
      <c r="T433" s="118">
        <f t="shared" si="124"/>
        <v>16.074370789180652</v>
      </c>
      <c r="U433" s="118">
        <f t="shared" si="125"/>
        <v>-11.68082633930478</v>
      </c>
      <c r="V433" s="118">
        <f t="shared" si="126"/>
        <v>-17.947920273764652</v>
      </c>
      <c r="W433" s="118">
        <f t="shared" si="127"/>
        <v>-13.55437582388878</v>
      </c>
      <c r="X433" s="118">
        <f>IF(OR(N433="",R433=""),NA(),10*LOG10((G433+'CMOS FOM coeff. calculation'!$Q$3)^'CMOS FOM coeff. calculation'!$P$3*(1000*E433)^'CMOS FOM coeff. calculation'!$N$3*R433^'CMOS FOM coeff. calculation'!$O$3*N433^'CMOS FOM coeff. calculation'!$M$3))</f>
        <v>17.809610476058719</v>
      </c>
      <c r="Y433" s="68"/>
      <c r="Z433" s="66" t="s">
        <v>2979</v>
      </c>
      <c r="AA433" s="3"/>
    </row>
    <row r="434" spans="1:27">
      <c r="A434" s="2" t="s">
        <v>3164</v>
      </c>
      <c r="B434" s="8" t="s">
        <v>3169</v>
      </c>
      <c r="C434" t="s">
        <v>3170</v>
      </c>
      <c r="D434" s="7" t="s">
        <v>3171</v>
      </c>
      <c r="E434" s="1">
        <v>0.09</v>
      </c>
      <c r="F434" s="1">
        <v>11</v>
      </c>
      <c r="G434" s="1">
        <v>27.5</v>
      </c>
      <c r="H434" s="1">
        <v>-10</v>
      </c>
      <c r="I434" s="1">
        <v>2.5</v>
      </c>
      <c r="K434" s="1">
        <v>-3</v>
      </c>
      <c r="L434" s="1">
        <v>16</v>
      </c>
      <c r="N434" s="1">
        <v>12.2</v>
      </c>
      <c r="O434" s="1">
        <v>0.40600000000000003</v>
      </c>
      <c r="Q434" s="118">
        <f t="shared" si="121"/>
        <v>0.79833261876807327</v>
      </c>
      <c r="R434" s="119">
        <f t="shared" si="122"/>
        <v>231.51645944274125</v>
      </c>
      <c r="S434" s="118" t="str">
        <f t="shared" si="123"/>
        <v/>
      </c>
      <c r="T434" s="118">
        <f t="shared" si="124"/>
        <v>6.9909200939185716</v>
      </c>
      <c r="U434" s="118">
        <f t="shared" si="125"/>
        <v>-3.5196111433911548</v>
      </c>
      <c r="V434" s="118" t="e">
        <f t="shared" si="126"/>
        <v>#N/A</v>
      </c>
      <c r="W434" s="118" t="e">
        <f t="shared" si="127"/>
        <v>#N/A</v>
      </c>
      <c r="X434" s="118">
        <f>IF(OR(N434="",R434=""),NA(),10*LOG10((G434+'CMOS FOM coeff. calculation'!$Q$3)^'CMOS FOM coeff. calculation'!$P$3*(1000*E434)^'CMOS FOM coeff. calculation'!$N$3*R434^'CMOS FOM coeff. calculation'!$O$3*N434^'CMOS FOM coeff. calculation'!$M$3))</f>
        <v>22.628462154354377</v>
      </c>
      <c r="Y434" s="68"/>
      <c r="Z434" s="103" t="s">
        <v>3172</v>
      </c>
      <c r="AA434" s="3"/>
    </row>
    <row r="435" spans="1:27">
      <c r="A435" s="2" t="s">
        <v>3164</v>
      </c>
      <c r="B435" s="8" t="s">
        <v>3173</v>
      </c>
      <c r="C435" t="s">
        <v>3174</v>
      </c>
      <c r="D435" s="7" t="s">
        <v>3175</v>
      </c>
      <c r="E435" s="6" t="s">
        <v>5</v>
      </c>
      <c r="F435" s="1">
        <v>0.1</v>
      </c>
      <c r="G435" s="1">
        <v>2.4500000000000002</v>
      </c>
      <c r="H435" s="1">
        <v>-10</v>
      </c>
      <c r="I435" s="1">
        <v>1.6</v>
      </c>
      <c r="J435" s="1">
        <v>-8.5</v>
      </c>
      <c r="K435" s="1">
        <v>3.5</v>
      </c>
      <c r="L435" s="1">
        <v>15</v>
      </c>
      <c r="M435" s="1">
        <v>2.5</v>
      </c>
      <c r="N435" s="1">
        <v>10</v>
      </c>
      <c r="P435" s="1">
        <v>2.5499999999999998</v>
      </c>
      <c r="Q435" s="118">
        <f t="shared" si="121"/>
        <v>0.45998579890463576</v>
      </c>
      <c r="R435" s="119">
        <f t="shared" si="122"/>
        <v>133.39588168234437</v>
      </c>
      <c r="S435" s="118">
        <f t="shared" si="123"/>
        <v>4.3255821670473571</v>
      </c>
      <c r="T435" s="118" t="e">
        <f t="shared" si="124"/>
        <v>#N/A</v>
      </c>
      <c r="U435" s="118" t="e">
        <f t="shared" si="125"/>
        <v>#N/A</v>
      </c>
      <c r="V435" s="118" t="e">
        <f t="shared" si="126"/>
        <v>#N/A</v>
      </c>
      <c r="W435" s="118" t="e">
        <f t="shared" si="127"/>
        <v>#N/A</v>
      </c>
      <c r="X435" s="118" t="e">
        <f>IF(OR(N435="",R435=""),NA(),10*LOG10((G435+'CMOS FOM coeff. calculation'!$Q$3)^'CMOS FOM coeff. calculation'!$P$3*(1000*E435)^'CMOS FOM coeff. calculation'!$N$3*R435^'CMOS FOM coeff. calculation'!$O$3*N435^'CMOS FOM coeff. calculation'!$M$3))</f>
        <v>#VALUE!</v>
      </c>
      <c r="Y435" s="68"/>
      <c r="Z435" s="103"/>
      <c r="AA435" s="3"/>
    </row>
    <row r="436" spans="1:27">
      <c r="A436" s="2" t="s">
        <v>3164</v>
      </c>
      <c r="B436" s="8" t="s">
        <v>3176</v>
      </c>
      <c r="C436" t="s">
        <v>3177</v>
      </c>
      <c r="D436" s="7" t="s">
        <v>3178</v>
      </c>
      <c r="E436" s="1">
        <v>0.13</v>
      </c>
      <c r="F436" s="1">
        <v>6</v>
      </c>
      <c r="G436" s="1">
        <v>9</v>
      </c>
      <c r="H436" s="1">
        <v>-14</v>
      </c>
      <c r="I436" s="1">
        <v>0.8</v>
      </c>
      <c r="J436" s="1">
        <v>-11.8</v>
      </c>
      <c r="L436" s="1">
        <v>23.3</v>
      </c>
      <c r="M436" s="1">
        <v>3.3</v>
      </c>
      <c r="N436" s="1">
        <v>20</v>
      </c>
      <c r="P436" s="1">
        <v>1.4079999999999999</v>
      </c>
      <c r="Q436" s="118">
        <f t="shared" si="121"/>
        <v>0.20321494231496653</v>
      </c>
      <c r="R436" s="119">
        <f t="shared" si="122"/>
        <v>58.932333271340298</v>
      </c>
      <c r="S436" s="118">
        <f t="shared" si="123"/>
        <v>14.059306101426786</v>
      </c>
      <c r="T436" s="118">
        <f t="shared" si="124"/>
        <v>2.8687949414146594</v>
      </c>
      <c r="U436" s="118">
        <f t="shared" si="125"/>
        <v>-0.274957440135847</v>
      </c>
      <c r="V436" s="118">
        <f t="shared" si="126"/>
        <v>-3.6063015109097449</v>
      </c>
      <c r="W436" s="118">
        <f t="shared" si="127"/>
        <v>-1.0124640096309325</v>
      </c>
      <c r="X436" s="118">
        <f>IF(OR(N436="",R436=""),NA(),10*LOG10((G436+'CMOS FOM coeff. calculation'!$Q$3)^'CMOS FOM coeff. calculation'!$P$3*(1000*E436)^'CMOS FOM coeff. calculation'!$N$3*R436^'CMOS FOM coeff. calculation'!$O$3*N436^'CMOS FOM coeff. calculation'!$M$3))</f>
        <v>23.572120446948045</v>
      </c>
      <c r="Y436" s="68"/>
      <c r="Z436" s="103" t="s">
        <v>3179</v>
      </c>
      <c r="AA436" s="3"/>
    </row>
    <row r="437" spans="1:27">
      <c r="A437" s="2" t="s">
        <v>3164</v>
      </c>
      <c r="B437" s="8" t="s">
        <v>3180</v>
      </c>
      <c r="C437" t="s">
        <v>3181</v>
      </c>
      <c r="D437" s="7" t="s">
        <v>3182</v>
      </c>
      <c r="E437" s="1">
        <v>2.1999999999999999E-2</v>
      </c>
      <c r="F437" s="1">
        <v>32.5</v>
      </c>
      <c r="G437" s="1">
        <v>22.35</v>
      </c>
      <c r="H437" s="1">
        <v>-10</v>
      </c>
      <c r="I437" s="1">
        <v>1.9</v>
      </c>
      <c r="J437" s="1">
        <v>-13</v>
      </c>
      <c r="L437" s="1">
        <v>15.6</v>
      </c>
      <c r="M437" s="1">
        <v>0.8</v>
      </c>
      <c r="N437" s="1">
        <v>7.8</v>
      </c>
      <c r="O437" s="1">
        <v>0.03</v>
      </c>
      <c r="Q437" s="118">
        <f t="shared" si="121"/>
        <v>0.56436039489906409</v>
      </c>
      <c r="R437" s="119">
        <f t="shared" si="122"/>
        <v>163.66451452072857</v>
      </c>
      <c r="S437" s="118">
        <f t="shared" si="123"/>
        <v>1.7695821352472565</v>
      </c>
      <c r="T437" s="118">
        <f t="shared" si="124"/>
        <v>13.595061368372942</v>
      </c>
      <c r="U437" s="118">
        <f t="shared" si="125"/>
        <v>-8.5554501651100274</v>
      </c>
      <c r="V437" s="118">
        <f t="shared" si="126"/>
        <v>-14.714808320833656</v>
      </c>
      <c r="W437" s="118">
        <f t="shared" si="127"/>
        <v>-9.6751971175707432</v>
      </c>
      <c r="X437" s="118">
        <f>IF(OR(N437="",R437=""),NA(),10*LOG10((G437+'CMOS FOM coeff. calculation'!$Q$3)^'CMOS FOM coeff. calculation'!$P$3*(1000*E437)^'CMOS FOM coeff. calculation'!$N$3*R437^'CMOS FOM coeff. calculation'!$O$3*N437^'CMOS FOM coeff. calculation'!$M$3))</f>
        <v>18.94492644702305</v>
      </c>
      <c r="Y437" s="68"/>
      <c r="Z437" s="103" t="s">
        <v>3183</v>
      </c>
      <c r="AA437" s="3"/>
    </row>
    <row r="438" spans="1:27">
      <c r="A438" s="2" t="s">
        <v>3164</v>
      </c>
      <c r="B438" s="8" t="s">
        <v>3184</v>
      </c>
      <c r="C438" t="s">
        <v>3185</v>
      </c>
      <c r="D438" s="7" t="s">
        <v>3186</v>
      </c>
      <c r="E438" s="1">
        <v>6.5000000000000002E-2</v>
      </c>
      <c r="F438" s="1">
        <v>4.3</v>
      </c>
      <c r="G438" s="1">
        <v>27.8</v>
      </c>
      <c r="H438" s="1">
        <v>-10</v>
      </c>
      <c r="I438" s="1">
        <v>1.9</v>
      </c>
      <c r="J438" s="1">
        <v>-12</v>
      </c>
      <c r="L438" s="1">
        <v>16.7</v>
      </c>
      <c r="M438" s="1">
        <v>1</v>
      </c>
      <c r="N438" s="1">
        <v>13.2</v>
      </c>
      <c r="O438" s="1">
        <v>0.06</v>
      </c>
      <c r="Q438" s="118">
        <f t="shared" si="121"/>
        <v>0.56080644816983649</v>
      </c>
      <c r="R438" s="119">
        <f t="shared" si="122"/>
        <v>162.63386996925257</v>
      </c>
      <c r="S438" s="118">
        <f t="shared" si="123"/>
        <v>2.8881134922183658</v>
      </c>
      <c r="T438" s="118">
        <f t="shared" si="124"/>
        <v>7.424233027847488</v>
      </c>
      <c r="U438" s="118">
        <f t="shared" si="125"/>
        <v>-5.3126715092488661</v>
      </c>
      <c r="V438" s="118">
        <f t="shared" si="126"/>
        <v>-10.480625789050706</v>
      </c>
      <c r="W438" s="118">
        <f t="shared" si="127"/>
        <v>-8.3690642704520837</v>
      </c>
      <c r="X438" s="118">
        <f>IF(OR(N438="",R438=""),NA(),10*LOG10((G438+'CMOS FOM coeff. calculation'!$Q$3)^'CMOS FOM coeff. calculation'!$P$3*(1000*E438)^'CMOS FOM coeff. calculation'!$N$3*R438^'CMOS FOM coeff. calculation'!$O$3*N438^'CMOS FOM coeff. calculation'!$M$3))</f>
        <v>23.013332474287775</v>
      </c>
      <c r="Y438" s="68"/>
      <c r="Z438" s="103" t="s">
        <v>3187</v>
      </c>
      <c r="AA438" s="3"/>
    </row>
    <row r="439" spans="1:27">
      <c r="A439" s="2"/>
      <c r="B439" s="8"/>
      <c r="D439" s="7"/>
      <c r="E439" s="1">
        <v>6.5000000000000002E-2</v>
      </c>
      <c r="F439" s="1">
        <v>4.9000000000000004</v>
      </c>
      <c r="G439" s="1">
        <v>27.4</v>
      </c>
      <c r="H439" s="1">
        <v>-10</v>
      </c>
      <c r="I439" s="1">
        <v>2.5</v>
      </c>
      <c r="J439" s="1">
        <v>-11.2</v>
      </c>
      <c r="L439" s="1">
        <v>11.7</v>
      </c>
      <c r="M439" s="1">
        <v>1</v>
      </c>
      <c r="N439" s="1">
        <v>3.6</v>
      </c>
      <c r="O439" s="1">
        <v>0.06</v>
      </c>
      <c r="Q439" s="118">
        <f t="shared" si="121"/>
        <v>0.83471293018251869</v>
      </c>
      <c r="R439" s="119">
        <f t="shared" si="122"/>
        <v>242.06674975293041</v>
      </c>
      <c r="S439" s="118">
        <f t="shared" si="123"/>
        <v>1.0461606967990451</v>
      </c>
      <c r="T439" s="118">
        <f t="shared" si="124"/>
        <v>7.3125312387590977</v>
      </c>
      <c r="U439" s="118">
        <f t="shared" si="125"/>
        <v>-5.0118776386640524</v>
      </c>
      <c r="V439" s="118">
        <f t="shared" si="126"/>
        <v>-9.9370913062183099</v>
      </c>
      <c r="W439" s="118">
        <f t="shared" si="127"/>
        <v>-7.6364377061232647</v>
      </c>
      <c r="X439" s="118">
        <f>IF(OR(N439="",R439=""),NA(),10*LOG10((G439+'CMOS FOM coeff. calculation'!$Q$3)^'CMOS FOM coeff. calculation'!$P$3*(1000*E439)^'CMOS FOM coeff. calculation'!$N$3*R439^'CMOS FOM coeff. calculation'!$O$3*N439^'CMOS FOM coeff. calculation'!$M$3))</f>
        <v>22.504238857191741</v>
      </c>
      <c r="Y439" s="68"/>
      <c r="Z439" s="103"/>
      <c r="AA439" s="3"/>
    </row>
    <row r="440" spans="1:27">
      <c r="A440" s="2" t="s">
        <v>3164</v>
      </c>
      <c r="B440" s="8" t="s">
        <v>3189</v>
      </c>
      <c r="C440" t="s">
        <v>3190</v>
      </c>
      <c r="D440" s="7" t="s">
        <v>3191</v>
      </c>
      <c r="E440" s="1">
        <v>4.4999999999999998E-2</v>
      </c>
      <c r="G440" s="1">
        <v>12</v>
      </c>
      <c r="I440" s="1">
        <v>0.82</v>
      </c>
      <c r="L440" s="1">
        <v>15.2</v>
      </c>
      <c r="M440" s="1">
        <v>1.6</v>
      </c>
      <c r="N440" s="1">
        <v>12</v>
      </c>
      <c r="Q440" s="118">
        <f t="shared" ref="Q440:Q456" si="128">IF(OR(I440="",L440=""),"",(10^(I440/10)-1)*10^(L440/10)/(10^(L440/10)-1))</f>
        <v>0.21428514296842094</v>
      </c>
      <c r="R440" s="119">
        <f t="shared" ref="R440:R456" si="129">IF(Q440="","",290*Q440)</f>
        <v>62.142691460842073</v>
      </c>
      <c r="S440" s="118" t="str">
        <f t="shared" ref="S440:S456" si="130">IF(OR(J440="",L440=""),"",10^(J440/10)*(10^(L440/10)-1))</f>
        <v/>
      </c>
      <c r="T440" s="118">
        <f t="shared" si="124"/>
        <v>7.6698162743045719</v>
      </c>
      <c r="U440" s="118" t="e">
        <f t="shared" si="125"/>
        <v>#N/A</v>
      </c>
      <c r="V440" s="118" t="e">
        <f t="shared" si="126"/>
        <v>#N/A</v>
      </c>
      <c r="W440" s="118" t="e">
        <f t="shared" si="127"/>
        <v>#N/A</v>
      </c>
      <c r="X440" s="118">
        <f>IF(OR(N440="",R440=""),NA(),10*LOG10((G440+'CMOS FOM coeff. calculation'!$Q$3)^'CMOS FOM coeff. calculation'!$P$3*(1000*E440)^'CMOS FOM coeff. calculation'!$N$3*R440^'CMOS FOM coeff. calculation'!$O$3*N440^'CMOS FOM coeff. calculation'!$M$3))</f>
        <v>21.639640399315347</v>
      </c>
      <c r="Y440" s="68"/>
      <c r="Z440" s="103" t="s">
        <v>3188</v>
      </c>
      <c r="AA440" s="3"/>
    </row>
    <row r="441" spans="1:27">
      <c r="A441" s="2"/>
      <c r="B441" s="8"/>
      <c r="D441" s="7"/>
      <c r="E441" s="1">
        <v>4.4999999999999998E-2</v>
      </c>
      <c r="G441" s="1">
        <v>20</v>
      </c>
      <c r="I441" s="1">
        <v>1.23</v>
      </c>
      <c r="L441" s="1">
        <v>12.3</v>
      </c>
      <c r="M441" s="1">
        <v>1.8</v>
      </c>
      <c r="N441" s="1">
        <v>13.5</v>
      </c>
      <c r="Q441" s="118">
        <f t="shared" si="128"/>
        <v>0.34787909767969094</v>
      </c>
      <c r="R441" s="119">
        <f t="shared" si="129"/>
        <v>100.88493832711038</v>
      </c>
      <c r="S441" s="118" t="str">
        <f t="shared" si="130"/>
        <v/>
      </c>
      <c r="T441" s="118">
        <f t="shared" si="124"/>
        <v>8.4656957563021678</v>
      </c>
      <c r="U441" s="118" t="e">
        <f t="shared" si="125"/>
        <v>#N/A</v>
      </c>
      <c r="V441" s="118" t="e">
        <f t="shared" si="126"/>
        <v>#N/A</v>
      </c>
      <c r="W441" s="118" t="e">
        <f t="shared" si="127"/>
        <v>#N/A</v>
      </c>
      <c r="X441" s="118">
        <f>IF(OR(N441="",R441=""),NA(),10*LOG10((G441+'CMOS FOM coeff. calculation'!$Q$3)^'CMOS FOM coeff. calculation'!$P$3*(1000*E441)^'CMOS FOM coeff. calculation'!$N$3*R441^'CMOS FOM coeff. calculation'!$O$3*N441^'CMOS FOM coeff. calculation'!$M$3))</f>
        <v>21.957905184994544</v>
      </c>
      <c r="Y441" s="68"/>
      <c r="Z441" s="103"/>
      <c r="AA441" s="3"/>
    </row>
    <row r="442" spans="1:27">
      <c r="A442" s="2" t="s">
        <v>3164</v>
      </c>
      <c r="B442" s="8" t="s">
        <v>3196</v>
      </c>
      <c r="C442" t="s">
        <v>3197</v>
      </c>
      <c r="D442" s="7" t="s">
        <v>3198</v>
      </c>
      <c r="E442" s="1">
        <v>2.8000000000000001E-2</v>
      </c>
      <c r="F442" s="1">
        <v>5</v>
      </c>
      <c r="G442" s="1">
        <v>78.5</v>
      </c>
      <c r="H442" s="1">
        <v>-15</v>
      </c>
      <c r="I442" s="1">
        <v>5.5</v>
      </c>
      <c r="J442" s="1">
        <v>-13.3</v>
      </c>
      <c r="L442" s="1">
        <v>17.100000000000001</v>
      </c>
      <c r="M442" s="1">
        <v>0.9</v>
      </c>
      <c r="N442" s="1">
        <v>29.4</v>
      </c>
      <c r="Q442" s="118">
        <f t="shared" si="128"/>
        <v>2.5988065821356847</v>
      </c>
      <c r="R442" s="119">
        <f t="shared" si="129"/>
        <v>753.65390881934854</v>
      </c>
      <c r="S442" s="118">
        <f t="shared" si="130"/>
        <v>2.3520594048907713</v>
      </c>
      <c r="T442" s="118">
        <f t="shared" si="124"/>
        <v>17.11432588573054</v>
      </c>
      <c r="U442" s="118">
        <f t="shared" si="125"/>
        <v>-14.784425871277145</v>
      </c>
      <c r="V442" s="118">
        <f t="shared" si="126"/>
        <v>-21.910748326328932</v>
      </c>
      <c r="W442" s="118">
        <f t="shared" si="127"/>
        <v>-19.580848311875535</v>
      </c>
      <c r="X442" s="118">
        <f>IF(OR(N442="",R442=""),NA(),10*LOG10((G442+'CMOS FOM coeff. calculation'!$Q$3)^'CMOS FOM coeff. calculation'!$P$3*(1000*E442)^'CMOS FOM coeff. calculation'!$N$3*R442^'CMOS FOM coeff. calculation'!$O$3*N442^'CMOS FOM coeff. calculation'!$M$3))</f>
        <v>20.640458637871397</v>
      </c>
      <c r="Z442" s="4" t="s">
        <v>3199</v>
      </c>
      <c r="AA442" s="3"/>
    </row>
    <row r="443" spans="1:27">
      <c r="A443" s="2" t="s">
        <v>3431</v>
      </c>
      <c r="B443" s="8" t="s">
        <v>3438</v>
      </c>
      <c r="C443" t="s">
        <v>3439</v>
      </c>
      <c r="D443" s="7" t="s">
        <v>3440</v>
      </c>
      <c r="E443" s="1">
        <v>6.5000000000000002E-2</v>
      </c>
      <c r="F443" s="1">
        <v>13.5</v>
      </c>
      <c r="G443" s="1">
        <v>38.75</v>
      </c>
      <c r="H443" s="1">
        <v>-10</v>
      </c>
      <c r="I443" s="1">
        <v>2.2000000000000002</v>
      </c>
      <c r="K443" s="1">
        <v>-7.6</v>
      </c>
      <c r="L443" s="1">
        <v>21.5</v>
      </c>
      <c r="M443" s="1">
        <v>1</v>
      </c>
      <c r="N443" s="1">
        <v>22</v>
      </c>
      <c r="O443" s="1">
        <v>0.16</v>
      </c>
      <c r="Q443" s="118">
        <f t="shared" si="128"/>
        <v>0.6642897184957488</v>
      </c>
      <c r="R443" s="119">
        <f t="shared" si="129"/>
        <v>192.64401836376715</v>
      </c>
      <c r="S443" s="118" t="str">
        <f t="shared" si="130"/>
        <v/>
      </c>
      <c r="T443" s="118">
        <f t="shared" si="124"/>
        <v>7.9376614424882899</v>
      </c>
      <c r="U443" s="118">
        <f t="shared" si="125"/>
        <v>-4.1698822141716034</v>
      </c>
      <c r="V443" s="118" t="e">
        <f t="shared" si="126"/>
        <v>#N/A</v>
      </c>
      <c r="W443" s="118" t="e">
        <f t="shared" si="127"/>
        <v>#N/A</v>
      </c>
      <c r="X443" s="118">
        <f>IF(OR(N443="",R443=""),NA(),10*LOG10((G443+'CMOS FOM coeff. calculation'!$Q$3)^'CMOS FOM coeff. calculation'!$P$3*(1000*E443)^'CMOS FOM coeff. calculation'!$N$3*R443^'CMOS FOM coeff. calculation'!$O$3*N443^'CMOS FOM coeff. calculation'!$M$3))</f>
        <v>23.920067666093967</v>
      </c>
      <c r="Y443" s="68"/>
      <c r="Z443" s="103" t="s">
        <v>3441</v>
      </c>
      <c r="AA443" s="3"/>
    </row>
    <row r="444" spans="1:27">
      <c r="A444" s="2" t="s">
        <v>3431</v>
      </c>
      <c r="B444" s="8" t="s">
        <v>3442</v>
      </c>
      <c r="C444" t="s">
        <v>3443</v>
      </c>
      <c r="D444" s="7" t="s">
        <v>3444</v>
      </c>
      <c r="E444" s="1">
        <v>2.8000000000000001E-2</v>
      </c>
      <c r="F444" s="1">
        <v>13</v>
      </c>
      <c r="G444" s="1">
        <v>27.5</v>
      </c>
      <c r="H444" s="1">
        <v>-3</v>
      </c>
      <c r="I444" s="1">
        <v>3.3</v>
      </c>
      <c r="J444" s="1">
        <v>-8</v>
      </c>
      <c r="K444" s="1">
        <v>12</v>
      </c>
      <c r="L444" s="1">
        <v>8.6</v>
      </c>
      <c r="M444" s="1">
        <v>1.8</v>
      </c>
      <c r="N444" s="1">
        <v>25.2</v>
      </c>
      <c r="O444" s="1">
        <v>0.13600000000000001</v>
      </c>
      <c r="Q444" s="118">
        <f t="shared" si="128"/>
        <v>1.3202004873942388</v>
      </c>
      <c r="R444" s="119">
        <f t="shared" si="129"/>
        <v>382.85814134432923</v>
      </c>
      <c r="S444" s="118">
        <f t="shared" si="130"/>
        <v>0.98966430225077151</v>
      </c>
      <c r="T444" s="118">
        <f t="shared" si="124"/>
        <v>16.986742313333426</v>
      </c>
      <c r="U444" s="118">
        <f t="shared" si="125"/>
        <v>-13.27359780564397</v>
      </c>
      <c r="V444" s="118">
        <f t="shared" si="126"/>
        <v>-21.294753515510969</v>
      </c>
      <c r="W444" s="118">
        <f t="shared" si="127"/>
        <v>-17.581609007821513</v>
      </c>
      <c r="X444" s="118">
        <f>IF(OR(N444="",R444=""),NA(),10*LOG10((G444+'CMOS FOM coeff. calculation'!$Q$3)^'CMOS FOM coeff. calculation'!$P$3*(1000*E444)^'CMOS FOM coeff. calculation'!$N$3*R444^'CMOS FOM coeff. calculation'!$O$3*N444^'CMOS FOM coeff. calculation'!$M$3))</f>
        <v>16.482685257473332</v>
      </c>
      <c r="Y444" s="68"/>
      <c r="Z444" s="103" t="s">
        <v>3453</v>
      </c>
      <c r="AA444" s="3"/>
    </row>
    <row r="445" spans="1:27">
      <c r="A445" s="2"/>
      <c r="B445" s="8"/>
      <c r="D445" s="7"/>
      <c r="E445" s="1">
        <v>2.8000000000000001E-2</v>
      </c>
      <c r="F445" s="1">
        <v>13</v>
      </c>
      <c r="G445" s="1">
        <v>27.5</v>
      </c>
      <c r="H445" s="1">
        <v>-3</v>
      </c>
      <c r="I445" s="1">
        <v>3.2</v>
      </c>
      <c r="J445" s="1">
        <v>-7</v>
      </c>
      <c r="K445" s="1">
        <v>8</v>
      </c>
      <c r="L445" s="1">
        <v>8</v>
      </c>
      <c r="M445" s="1">
        <v>1.8</v>
      </c>
      <c r="N445" s="1">
        <v>23.4</v>
      </c>
      <c r="O445" s="1">
        <v>0.13600000000000001</v>
      </c>
      <c r="Q445" s="118">
        <f t="shared" si="128"/>
        <v>1.29445312551252</v>
      </c>
      <c r="R445" s="119">
        <f t="shared" si="129"/>
        <v>375.39140639863081</v>
      </c>
      <c r="S445" s="118">
        <f t="shared" si="130"/>
        <v>1.0593991802972795</v>
      </c>
      <c r="T445" s="118">
        <f t="shared" si="124"/>
        <v>16.793924432610041</v>
      </c>
      <c r="U445" s="118">
        <f t="shared" si="125"/>
        <v>-13.080779924920584</v>
      </c>
      <c r="V445" s="118">
        <f t="shared" si="126"/>
        <v>-20.896080932660837</v>
      </c>
      <c r="W445" s="118">
        <f t="shared" si="127"/>
        <v>-17.182936424971381</v>
      </c>
      <c r="X445" s="118">
        <f>IF(OR(N445="",R445=""),NA(),10*LOG10((G445+'CMOS FOM coeff. calculation'!$Q$3)^'CMOS FOM coeff. calculation'!$P$3*(1000*E445)^'CMOS FOM coeff. calculation'!$N$3*R445^'CMOS FOM coeff. calculation'!$O$3*N445^'CMOS FOM coeff. calculation'!$M$3))</f>
        <v>16.624036666752978</v>
      </c>
      <c r="Y445" s="68"/>
      <c r="Z445" s="66"/>
      <c r="AA445" s="3"/>
    </row>
    <row r="446" spans="1:27">
      <c r="A446" s="2" t="s">
        <v>3431</v>
      </c>
      <c r="B446" s="8" t="s">
        <v>3449</v>
      </c>
      <c r="C446" t="s">
        <v>3450</v>
      </c>
      <c r="D446" s="7" t="s">
        <v>3451</v>
      </c>
      <c r="E446" s="1">
        <v>2.1999999999999999E-2</v>
      </c>
      <c r="F446" s="1">
        <v>12.6</v>
      </c>
      <c r="G446" s="1">
        <v>27.9</v>
      </c>
      <c r="H446" s="1">
        <v>-9</v>
      </c>
      <c r="I446" s="1">
        <v>2.2999999999999998</v>
      </c>
      <c r="J446" s="1">
        <v>-38</v>
      </c>
      <c r="L446" s="1">
        <v>32</v>
      </c>
      <c r="M446" s="1">
        <v>1.2</v>
      </c>
      <c r="N446" s="1">
        <v>35</v>
      </c>
      <c r="O446" s="1">
        <v>0.74199999999999999</v>
      </c>
      <c r="Q446" s="118">
        <f t="shared" si="128"/>
        <v>0.69868449257380816</v>
      </c>
      <c r="R446" s="119">
        <f t="shared" si="129"/>
        <v>202.61850284640437</v>
      </c>
      <c r="S446" s="118">
        <f t="shared" si="130"/>
        <v>0.25103015383171201</v>
      </c>
      <c r="T446" s="118">
        <f t="shared" si="124"/>
        <v>16.053374089563711</v>
      </c>
      <c r="U446" s="118">
        <f t="shared" si="125"/>
        <v>-12.385472272505169</v>
      </c>
      <c r="V446" s="118">
        <f t="shared" si="126"/>
        <v>-22.494604210308236</v>
      </c>
      <c r="W446" s="118">
        <f t="shared" si="127"/>
        <v>-18.826702393249693</v>
      </c>
      <c r="X446" s="118">
        <f>IF(OR(N446="",R446=""),NA(),10*LOG10((G446+'CMOS FOM coeff. calculation'!$Q$3)^'CMOS FOM coeff. calculation'!$P$3*(1000*E446)^'CMOS FOM coeff. calculation'!$N$3*R446^'CMOS FOM coeff. calculation'!$O$3*N446^'CMOS FOM coeff. calculation'!$M$3))</f>
        <v>18.034352675613079</v>
      </c>
      <c r="Y446" s="68"/>
      <c r="Z446" s="66" t="s">
        <v>3452</v>
      </c>
      <c r="AA446" s="3"/>
    </row>
    <row r="447" spans="1:27">
      <c r="A447" s="2"/>
      <c r="B447" s="8"/>
      <c r="D447" s="7"/>
      <c r="E447" s="1">
        <v>2.1999999999999999E-2</v>
      </c>
      <c r="F447" s="1">
        <v>5</v>
      </c>
      <c r="G447" s="1">
        <v>24</v>
      </c>
      <c r="H447" s="1">
        <v>-9</v>
      </c>
      <c r="I447" s="1">
        <v>2.7</v>
      </c>
      <c r="J447" s="1">
        <v>-39.4</v>
      </c>
      <c r="L447" s="1">
        <v>32.4</v>
      </c>
      <c r="M447" s="1">
        <v>1.2</v>
      </c>
      <c r="N447" s="1">
        <v>35</v>
      </c>
      <c r="O447" s="1">
        <v>0.74199999999999999</v>
      </c>
      <c r="Q447" s="118">
        <f t="shared" si="128"/>
        <v>0.86258350165901021</v>
      </c>
      <c r="R447" s="119">
        <f t="shared" si="129"/>
        <v>250.14921548111295</v>
      </c>
      <c r="S447" s="118">
        <f t="shared" si="130"/>
        <v>0.19941141613473801</v>
      </c>
      <c r="T447" s="118">
        <f t="shared" si="124"/>
        <v>17.404527598327398</v>
      </c>
      <c r="U447" s="118">
        <f t="shared" si="125"/>
        <v>-15.074627583874003</v>
      </c>
      <c r="V447" s="118">
        <f t="shared" si="126"/>
        <v>-23.961034095678553</v>
      </c>
      <c r="W447" s="118">
        <f t="shared" si="127"/>
        <v>-21.631134081225156</v>
      </c>
      <c r="X447" s="118">
        <f>IF(OR(N447="",R447=""),NA(),10*LOG10((G447+'CMOS FOM coeff. calculation'!$Q$3)^'CMOS FOM coeff. calculation'!$P$3*(1000*E447)^'CMOS FOM coeff. calculation'!$N$3*R447^'CMOS FOM coeff. calculation'!$O$3*N447^'CMOS FOM coeff. calculation'!$M$3))</f>
        <v>16.366297628618515</v>
      </c>
      <c r="Y447" s="68"/>
      <c r="Z447" s="66"/>
      <c r="AA447" s="3"/>
    </row>
    <row r="448" spans="1:27">
      <c r="A448" s="2"/>
      <c r="B448" s="8"/>
      <c r="D448" s="7"/>
      <c r="E448" s="1">
        <v>2.1999999999999999E-2</v>
      </c>
      <c r="F448" s="1">
        <v>5.5</v>
      </c>
      <c r="G448" s="1">
        <v>30.25</v>
      </c>
      <c r="H448" s="1">
        <v>-9</v>
      </c>
      <c r="I448" s="1">
        <v>2.2999999999999998</v>
      </c>
      <c r="J448" s="1">
        <v>-39.200000000000003</v>
      </c>
      <c r="L448" s="1">
        <v>33.4</v>
      </c>
      <c r="M448" s="1">
        <v>1.2</v>
      </c>
      <c r="N448" s="1">
        <v>35</v>
      </c>
      <c r="O448" s="1">
        <v>0.74199999999999999</v>
      </c>
      <c r="Q448" s="118">
        <f t="shared" si="128"/>
        <v>0.69856295733924656</v>
      </c>
      <c r="R448" s="119">
        <f t="shared" si="129"/>
        <v>202.58325762838149</v>
      </c>
      <c r="S448" s="118">
        <f t="shared" si="130"/>
        <v>0.26290657274607604</v>
      </c>
      <c r="T448" s="118">
        <f t="shared" si="124"/>
        <v>15.818477402966447</v>
      </c>
      <c r="U448" s="118">
        <f t="shared" si="125"/>
        <v>-13.350601771318967</v>
      </c>
      <c r="V448" s="118">
        <f t="shared" si="126"/>
        <v>-22.309859604372384</v>
      </c>
      <c r="W448" s="118">
        <f t="shared" si="127"/>
        <v>-19.841983972724904</v>
      </c>
      <c r="X448" s="118">
        <f>IF(OR(N448="",R448=""),NA(),10*LOG10((G448+'CMOS FOM coeff. calculation'!$Q$3)^'CMOS FOM coeff. calculation'!$P$3*(1000*E448)^'CMOS FOM coeff. calculation'!$N$3*R448^'CMOS FOM coeff. calculation'!$O$3*N448^'CMOS FOM coeff. calculation'!$M$3))</f>
        <v>18.50682602867256</v>
      </c>
      <c r="Y448" s="68"/>
      <c r="Z448" s="66"/>
      <c r="AA448" s="3"/>
    </row>
    <row r="449" spans="1:27">
      <c r="A449" s="2" t="s">
        <v>3624</v>
      </c>
      <c r="B449" s="8" t="s">
        <v>3625</v>
      </c>
      <c r="C449" t="s">
        <v>3626</v>
      </c>
      <c r="D449" s="7" t="s">
        <v>3627</v>
      </c>
      <c r="E449" s="1">
        <v>0.04</v>
      </c>
      <c r="F449" s="1">
        <v>27</v>
      </c>
      <c r="G449" s="1">
        <v>32.5</v>
      </c>
      <c r="H449" s="1">
        <v>-11</v>
      </c>
      <c r="I449" s="1">
        <v>3.4</v>
      </c>
      <c r="J449" s="1">
        <v>-15</v>
      </c>
      <c r="L449" s="1">
        <v>12.4</v>
      </c>
      <c r="M449" s="1">
        <v>1</v>
      </c>
      <c r="N449" s="1">
        <v>4.4000000000000004</v>
      </c>
      <c r="O449" s="1">
        <v>9.6000000000000002E-2</v>
      </c>
      <c r="Q449" s="118">
        <f t="shared" si="128"/>
        <v>1.2602833618251237</v>
      </c>
      <c r="R449" s="119">
        <f t="shared" si="129"/>
        <v>365.48217492928586</v>
      </c>
      <c r="S449" s="118">
        <f t="shared" si="130"/>
        <v>0.51791809725594062</v>
      </c>
      <c r="T449" s="118">
        <f t="shared" si="124"/>
        <v>11.70950199174939</v>
      </c>
      <c r="U449" s="118">
        <f t="shared" si="125"/>
        <v>-6.9382894445527654</v>
      </c>
      <c r="V449" s="118">
        <f t="shared" si="126"/>
        <v>-15.186618465937871</v>
      </c>
      <c r="W449" s="118">
        <f t="shared" si="127"/>
        <v>-10.415405918741246</v>
      </c>
      <c r="X449" s="118">
        <f>IF(OR(N449="",R449=""),NA(),10*LOG10((G449+'CMOS FOM coeff. calculation'!$Q$3)^'CMOS FOM coeff. calculation'!$P$3*(1000*E449)^'CMOS FOM coeff. calculation'!$N$3*R449^'CMOS FOM coeff. calculation'!$O$3*N449^'CMOS FOM coeff. calculation'!$M$3))</f>
        <v>20.248056391630314</v>
      </c>
      <c r="Y449" s="68"/>
      <c r="Z449" s="66" t="s">
        <v>3628</v>
      </c>
      <c r="AA449" s="3"/>
    </row>
    <row r="450" spans="1:27">
      <c r="A450" s="2" t="s">
        <v>3624</v>
      </c>
      <c r="B450" s="8" t="s">
        <v>3629</v>
      </c>
      <c r="C450" t="s">
        <v>3630</v>
      </c>
      <c r="D450" s="7" t="s">
        <v>3631</v>
      </c>
      <c r="E450" s="1">
        <v>0.04</v>
      </c>
      <c r="F450" s="1">
        <v>16.5</v>
      </c>
      <c r="G450" s="1">
        <v>139.25</v>
      </c>
      <c r="H450" s="1">
        <v>-10</v>
      </c>
      <c r="I450" s="1">
        <v>6.1</v>
      </c>
      <c r="J450" s="1">
        <v>-16.7</v>
      </c>
      <c r="L450" s="1">
        <v>18.399999999999999</v>
      </c>
      <c r="M450" s="1">
        <v>0.9</v>
      </c>
      <c r="N450" s="1">
        <v>17.100000000000001</v>
      </c>
      <c r="O450" s="1">
        <v>5.7000000000000002E-2</v>
      </c>
      <c r="Q450" s="118">
        <f t="shared" si="128"/>
        <v>3.118884373174573</v>
      </c>
      <c r="R450" s="119">
        <f t="shared" si="129"/>
        <v>904.4764682206262</v>
      </c>
      <c r="S450" s="118">
        <f t="shared" si="130"/>
        <v>1.4577287672731853</v>
      </c>
      <c r="T450" s="118">
        <f t="shared" si="124"/>
        <v>13.397211868599948</v>
      </c>
      <c r="U450" s="118">
        <f t="shared" si="125"/>
        <v>-9.3389320545535952</v>
      </c>
      <c r="V450" s="118">
        <f t="shared" si="126"/>
        <v>-19.447793805920533</v>
      </c>
      <c r="W450" s="118">
        <f t="shared" si="127"/>
        <v>-15.389513991874178</v>
      </c>
      <c r="X450" s="118">
        <f>IF(OR(N450="",R450=""),NA(),10*LOG10((G450+'CMOS FOM coeff. calculation'!$Q$3)^'CMOS FOM coeff. calculation'!$P$3*(1000*E450)^'CMOS FOM coeff. calculation'!$N$3*R450^'CMOS FOM coeff. calculation'!$O$3*N450^'CMOS FOM coeff. calculation'!$M$3))</f>
        <v>25.860190123204006</v>
      </c>
      <c r="Y450" s="68"/>
      <c r="Z450" s="66" t="s">
        <v>3632</v>
      </c>
      <c r="AA450" s="3"/>
    </row>
    <row r="451" spans="1:27">
      <c r="A451" s="2" t="s">
        <v>3624</v>
      </c>
      <c r="B451" s="8" t="s">
        <v>3636</v>
      </c>
      <c r="C451" t="s">
        <v>3637</v>
      </c>
      <c r="D451" s="7" t="s">
        <v>3638</v>
      </c>
      <c r="E451" s="1">
        <v>1.6E-2</v>
      </c>
      <c r="F451" s="1">
        <v>48</v>
      </c>
      <c r="G451" s="1">
        <v>196</v>
      </c>
      <c r="H451" s="1">
        <v>-10</v>
      </c>
      <c r="I451" s="1">
        <v>8.3000000000000007</v>
      </c>
      <c r="J451" s="1">
        <v>-12.1</v>
      </c>
      <c r="L451" s="1">
        <v>12</v>
      </c>
      <c r="M451" s="1">
        <v>1</v>
      </c>
      <c r="N451" s="1">
        <v>28</v>
      </c>
      <c r="O451" s="1">
        <v>6.4000000000000001E-2</v>
      </c>
      <c r="Q451" s="118">
        <f t="shared" si="128"/>
        <v>6.1487923214073588</v>
      </c>
      <c r="R451" s="119">
        <f t="shared" si="129"/>
        <v>1783.1497732081341</v>
      </c>
      <c r="S451" s="118">
        <f t="shared" si="130"/>
        <v>0.9155777207696626</v>
      </c>
      <c r="T451" s="118">
        <f t="shared" si="124"/>
        <v>21.375118107768763</v>
      </c>
      <c r="U451" s="118">
        <f t="shared" si="125"/>
        <v>-15.77098064985014</v>
      </c>
      <c r="V451" s="118">
        <f t="shared" si="126"/>
        <v>-27.981247671561228</v>
      </c>
      <c r="W451" s="118">
        <f t="shared" si="127"/>
        <v>-22.377110213642602</v>
      </c>
      <c r="X451" s="118">
        <f>IF(OR(N451="",R451=""),NA(),10*LOG10((G451+'CMOS FOM coeff. calculation'!$Q$3)^'CMOS FOM coeff. calculation'!$P$3*(1000*E451)^'CMOS FOM coeff. calculation'!$N$3*R451^'CMOS FOM coeff. calculation'!$O$3*N451^'CMOS FOM coeff. calculation'!$M$3))</f>
        <v>22.726487645685719</v>
      </c>
      <c r="Y451" s="68"/>
      <c r="Z451" s="66" t="s">
        <v>3639</v>
      </c>
      <c r="AA451" s="3"/>
    </row>
    <row r="452" spans="1:27">
      <c r="A452" s="2" t="s">
        <v>3624</v>
      </c>
      <c r="B452" s="8" t="s">
        <v>3640</v>
      </c>
      <c r="C452" t="s">
        <v>3641</v>
      </c>
      <c r="D452" s="7" t="s">
        <v>3642</v>
      </c>
      <c r="E452" s="1">
        <v>2.8000000000000001E-2</v>
      </c>
      <c r="F452" s="1">
        <v>8</v>
      </c>
      <c r="G452" s="1">
        <v>32</v>
      </c>
      <c r="H452" s="1">
        <v>-11</v>
      </c>
      <c r="I452" s="1">
        <v>5.3</v>
      </c>
      <c r="J452" s="1">
        <v>-8.1999999999999993</v>
      </c>
      <c r="K452" s="1">
        <v>4.4000000000000004</v>
      </c>
      <c r="L452" s="1">
        <v>17.3</v>
      </c>
      <c r="M452" s="1">
        <v>1</v>
      </c>
      <c r="N452" s="1">
        <v>63</v>
      </c>
      <c r="O452" s="1">
        <v>0.1</v>
      </c>
      <c r="Q452" s="118">
        <f t="shared" si="128"/>
        <v>2.4337602988541982</v>
      </c>
      <c r="R452" s="119">
        <f t="shared" si="129"/>
        <v>705.79048666771746</v>
      </c>
      <c r="S452" s="118">
        <f t="shared" si="130"/>
        <v>7.9769490367973734</v>
      </c>
      <c r="T452" s="118">
        <f t="shared" si="124"/>
        <v>20.530806248016383</v>
      </c>
      <c r="U452" s="118">
        <f t="shared" si="125"/>
        <v>-17.52050629137657</v>
      </c>
      <c r="V452" s="118">
        <f t="shared" si="126"/>
        <v>-23.363512053616539</v>
      </c>
      <c r="W452" s="118">
        <f t="shared" si="127"/>
        <v>-20.353212096976726</v>
      </c>
      <c r="X452" s="118">
        <f>IF(OR(N452="",R452=""),NA(),10*LOG10((G452+'CMOS FOM coeff. calculation'!$Q$3)^'CMOS FOM coeff. calculation'!$P$3*(1000*E452)^'CMOS FOM coeff. calculation'!$N$3*R452^'CMOS FOM coeff. calculation'!$O$3*N452^'CMOS FOM coeff. calculation'!$M$3))</f>
        <v>14.186182429640207</v>
      </c>
      <c r="Y452" s="68"/>
      <c r="Z452" s="66" t="s">
        <v>3643</v>
      </c>
      <c r="AA452" s="3"/>
    </row>
    <row r="453" spans="1:27">
      <c r="A453" s="2" t="s">
        <v>3624</v>
      </c>
      <c r="B453" s="8" t="s">
        <v>3644</v>
      </c>
      <c r="C453" t="s">
        <v>3645</v>
      </c>
      <c r="D453" s="7" t="s">
        <v>3646</v>
      </c>
      <c r="E453" s="1">
        <v>6.5000000000000002E-2</v>
      </c>
      <c r="F453" s="1">
        <v>8.5</v>
      </c>
      <c r="G453" s="1">
        <v>26.05</v>
      </c>
      <c r="H453" s="1">
        <v>-10</v>
      </c>
      <c r="I453" s="1">
        <v>3.6</v>
      </c>
      <c r="K453" s="1">
        <v>-18.5</v>
      </c>
      <c r="L453" s="1">
        <v>26.3</v>
      </c>
      <c r="M453" s="1">
        <v>1.2</v>
      </c>
      <c r="N453" s="1">
        <v>19.2</v>
      </c>
      <c r="O453" s="1">
        <v>0.1</v>
      </c>
      <c r="Q453" s="118">
        <f t="shared" si="128"/>
        <v>1.2939008524302071</v>
      </c>
      <c r="R453" s="119">
        <f t="shared" si="129"/>
        <v>375.23124720476005</v>
      </c>
      <c r="S453" s="118" t="str">
        <f t="shared" si="130"/>
        <v/>
      </c>
      <c r="T453" s="118">
        <f t="shared" si="124"/>
        <v>11.785784479353879</v>
      </c>
      <c r="U453" s="118">
        <f t="shared" si="125"/>
        <v>-8.6877213936395705</v>
      </c>
      <c r="V453" s="118" t="e">
        <f t="shared" ref="V453:V455" si="131">IF(OR(ISNA(T453),S453=""),NA(),10*LOG10(S453^(1/3)*E453*G453^(1/3)/Q453/N453^(2/3)))</f>
        <v>#N/A</v>
      </c>
      <c r="W453" s="118" t="e">
        <f t="shared" ref="W453:W455" si="132">IF(OR(ISNA(V453),F453=""),NA(),V453+10*LOG10(F453^(1/3)))</f>
        <v>#N/A</v>
      </c>
      <c r="X453" s="118">
        <f>IF(OR(N453="",R453=""),NA(),10*LOG10((G453+'CMOS FOM coeff. calculation'!$Q$3)^'CMOS FOM coeff. calculation'!$P$3*(1000*E453)^'CMOS FOM coeff. calculation'!$N$3*R453^'CMOS FOM coeff. calculation'!$O$3*N453^'CMOS FOM coeff. calculation'!$M$3))</f>
        <v>19.050417761244663</v>
      </c>
      <c r="Y453" s="68"/>
      <c r="Z453" s="66" t="s">
        <v>3647</v>
      </c>
      <c r="AA453" s="3"/>
    </row>
    <row r="454" spans="1:27">
      <c r="A454" s="2"/>
      <c r="B454" s="8"/>
      <c r="D454" s="7"/>
      <c r="E454" s="1">
        <v>6.5000000000000002E-2</v>
      </c>
      <c r="F454" s="1">
        <v>12.5</v>
      </c>
      <c r="G454" s="1">
        <v>38.85</v>
      </c>
      <c r="H454" s="1">
        <v>-10</v>
      </c>
      <c r="I454" s="1">
        <v>3.8</v>
      </c>
      <c r="K454" s="1">
        <v>-16.399999999999999</v>
      </c>
      <c r="L454" s="1">
        <v>25.5</v>
      </c>
      <c r="M454" s="1">
        <v>1.2</v>
      </c>
      <c r="N454" s="1">
        <v>19.2</v>
      </c>
      <c r="O454" s="1">
        <v>0.1</v>
      </c>
      <c r="Q454" s="118">
        <f t="shared" si="128"/>
        <v>1.4027865085714566</v>
      </c>
      <c r="R454" s="119">
        <f t="shared" si="129"/>
        <v>406.80808748572241</v>
      </c>
      <c r="S454" s="118" t="str">
        <f t="shared" si="130"/>
        <v/>
      </c>
      <c r="T454" s="118">
        <f t="shared" si="124"/>
        <v>10.979468323150947</v>
      </c>
      <c r="U454" s="118">
        <f t="shared" si="125"/>
        <v>-7.3231016131240914</v>
      </c>
      <c r="V454" s="118" t="e">
        <f t="shared" si="131"/>
        <v>#N/A</v>
      </c>
      <c r="W454" s="118" t="e">
        <f t="shared" si="132"/>
        <v>#N/A</v>
      </c>
      <c r="X454" s="118">
        <f>IF(OR(N454="",R454=""),NA(),10*LOG10((G454+'CMOS FOM coeff. calculation'!$Q$3)^'CMOS FOM coeff. calculation'!$P$3*(1000*E454)^'CMOS FOM coeff. calculation'!$N$3*R454^'CMOS FOM coeff. calculation'!$O$3*N454^'CMOS FOM coeff. calculation'!$M$3))</f>
        <v>21.132992599488404</v>
      </c>
      <c r="Y454" s="68"/>
      <c r="Z454" s="66"/>
      <c r="AA454" s="3"/>
    </row>
    <row r="455" spans="1:27">
      <c r="A455" s="2" t="s">
        <v>3867</v>
      </c>
      <c r="B455" s="8" t="s">
        <v>3905</v>
      </c>
      <c r="C455" t="s">
        <v>3906</v>
      </c>
      <c r="D455" s="7" t="s">
        <v>3907</v>
      </c>
      <c r="E455" s="1">
        <v>6.5000000000000002E-2</v>
      </c>
      <c r="F455" s="1">
        <v>17</v>
      </c>
      <c r="G455" s="1">
        <v>31.5</v>
      </c>
      <c r="H455" s="1">
        <v>-10</v>
      </c>
      <c r="I455" s="1">
        <v>2.79</v>
      </c>
      <c r="J455" s="1">
        <v>-14.2</v>
      </c>
      <c r="L455" s="1">
        <v>15.7</v>
      </c>
      <c r="M455" s="1">
        <v>0.6</v>
      </c>
      <c r="N455" s="1">
        <v>14</v>
      </c>
      <c r="O455" s="1">
        <v>8.8999999999999996E-2</v>
      </c>
      <c r="Q455" s="118">
        <f t="shared" si="128"/>
        <v>0.9260019445457901</v>
      </c>
      <c r="R455" s="119">
        <f t="shared" si="129"/>
        <v>268.54056391827913</v>
      </c>
      <c r="S455" s="118">
        <f t="shared" si="130"/>
        <v>1.3745186049906981</v>
      </c>
      <c r="T455" s="118">
        <f t="shared" si="124"/>
        <v>9.3256306584983584</v>
      </c>
      <c r="U455" s="118">
        <f t="shared" si="125"/>
        <v>-5.2241342539041122</v>
      </c>
      <c r="V455" s="118">
        <f t="shared" si="131"/>
        <v>-13.722968403288785</v>
      </c>
      <c r="W455" s="118">
        <f t="shared" si="132"/>
        <v>-9.6214719986945383</v>
      </c>
      <c r="X455" s="118">
        <f>IF(OR(N455="",R455=""),NA(),10*LOG10((G455+'CMOS FOM coeff. calculation'!$Q$3)^'CMOS FOM coeff. calculation'!$P$3*(1000*E455)^'CMOS FOM coeff. calculation'!$N$3*R455^'CMOS FOM coeff. calculation'!$O$3*N455^'CMOS FOM coeff. calculation'!$M$3))</f>
        <v>21.735372357384236</v>
      </c>
      <c r="Y455" s="68"/>
      <c r="Z455" s="66" t="s">
        <v>3908</v>
      </c>
      <c r="AA455" s="3"/>
    </row>
    <row r="456" spans="1:27">
      <c r="A456" s="2" t="s">
        <v>3867</v>
      </c>
      <c r="B456" s="8" t="s">
        <v>3910</v>
      </c>
      <c r="C456" t="s">
        <v>3911</v>
      </c>
      <c r="D456" s="7" t="s">
        <v>3912</v>
      </c>
      <c r="E456" s="1">
        <v>2.1999999999999999E-2</v>
      </c>
      <c r="F456" s="1">
        <v>3.7</v>
      </c>
      <c r="G456" s="1">
        <v>5.35</v>
      </c>
      <c r="H456" s="1">
        <v>-10</v>
      </c>
      <c r="I456" s="1">
        <v>1.7</v>
      </c>
      <c r="J456" s="1">
        <v>-6.4</v>
      </c>
      <c r="L456" s="1">
        <v>18.8</v>
      </c>
      <c r="M456" s="1">
        <v>0.9</v>
      </c>
      <c r="N456" s="1">
        <v>36</v>
      </c>
      <c r="P456" s="1">
        <v>2.38</v>
      </c>
      <c r="Q456" s="118">
        <f t="shared" ref="Q456:Q461" si="133">IF(OR(I456="",L456=""),"",(10^(I456/10)-1)*10^(L456/10)/(10^(L456/10)-1))</f>
        <v>0.48550863851166093</v>
      </c>
      <c r="R456" s="119">
        <f t="shared" ref="R456:R461" si="134">IF(Q456="","",290*Q456)</f>
        <v>140.79750516838166</v>
      </c>
      <c r="S456" s="118">
        <f t="shared" ref="S456:S461" si="135">IF(OR(J456="",L456=""),"",10^(J456/10)*(10^(L456/10)-1))</f>
        <v>17.148921522216988</v>
      </c>
      <c r="T456" s="118">
        <f t="shared" ref="T456:T461" si="136">IF(OR(Q456="",N456="",E456="",G456=""),NA(),10*LOG10(Q456*N456^(1/3)*E456^(-4/3)*G456^(-2/3)))</f>
        <v>19.294983660647517</v>
      </c>
      <c r="U456" s="118">
        <f t="shared" ref="U456:U461" si="137">IF(OR(ISNA(T456),F456=""),NA(),10*LOG10(F456^(1/3))-T456)</f>
        <v>-17.400977913757533</v>
      </c>
      <c r="V456" s="118">
        <f t="shared" ref="V456:V461" si="138">IF(OR(ISNA(T456),S456=""),NA(),10*LOG10(S456^(1/3)*E456*G456^(1/3)/Q456/N456^(2/3)))</f>
        <v>-17.271124162980893</v>
      </c>
      <c r="W456" s="118">
        <f t="shared" ref="W456:W461" si="139">IF(OR(ISNA(V456),F456=""),NA(),V456+10*LOG10(F456^(1/3)))</f>
        <v>-15.377118416090909</v>
      </c>
      <c r="X456" s="118">
        <f>IF(OR(N456="",R456=""),NA(),10*LOG10((G456+'CMOS FOM coeff. calculation'!$Q$3)^'CMOS FOM coeff. calculation'!$P$3*(1000*E456)^'CMOS FOM coeff. calculation'!$N$3*R456^'CMOS FOM coeff. calculation'!$O$3*N456^'CMOS FOM coeff. calculation'!$M$3))</f>
        <v>12.769934363493224</v>
      </c>
      <c r="Y456" s="68"/>
      <c r="Z456" s="66" t="s">
        <v>3909</v>
      </c>
      <c r="AA456" s="3"/>
    </row>
    <row r="457" spans="1:27">
      <c r="A457" s="2" t="s">
        <v>3867</v>
      </c>
      <c r="B457" s="8" t="s">
        <v>3913</v>
      </c>
      <c r="C457" t="s">
        <v>3914</v>
      </c>
      <c r="D457" s="7" t="s">
        <v>3915</v>
      </c>
      <c r="E457" s="1">
        <v>6.5000000000000002E-2</v>
      </c>
      <c r="F457" s="1">
        <v>5.8</v>
      </c>
      <c r="G457" s="1">
        <v>3.1</v>
      </c>
      <c r="H457" s="1">
        <v>-10</v>
      </c>
      <c r="I457" s="1">
        <v>2.8</v>
      </c>
      <c r="K457" s="1">
        <v>8.3000000000000007</v>
      </c>
      <c r="L457" s="1">
        <v>19.5</v>
      </c>
      <c r="M457" s="1">
        <v>1.2</v>
      </c>
      <c r="N457" s="1">
        <v>14.7</v>
      </c>
      <c r="O457" s="1">
        <v>9.5000000000000001E-2</v>
      </c>
      <c r="Q457" s="118">
        <f t="shared" si="133"/>
        <v>0.91573543857666029</v>
      </c>
      <c r="R457" s="119">
        <f t="shared" si="134"/>
        <v>265.56327718723151</v>
      </c>
      <c r="S457" s="118" t="str">
        <f t="shared" si="135"/>
        <v/>
      </c>
      <c r="T457" s="118">
        <f t="shared" si="136"/>
        <v>16.060835283620218</v>
      </c>
      <c r="U457" s="118">
        <f t="shared" si="137"/>
        <v>-13.516075305077095</v>
      </c>
      <c r="V457" s="118" t="e">
        <f t="shared" si="138"/>
        <v>#N/A</v>
      </c>
      <c r="W457" s="118" t="e">
        <f t="shared" si="139"/>
        <v>#N/A</v>
      </c>
      <c r="X457" s="118">
        <f>IF(OR(N457="",R457=""),NA(),10*LOG10((G457+'CMOS FOM coeff. calculation'!$Q$3)^'CMOS FOM coeff. calculation'!$P$3*(1000*E457)^'CMOS FOM coeff. calculation'!$N$3*R457^'CMOS FOM coeff. calculation'!$O$3*N457^'CMOS FOM coeff. calculation'!$M$3))</f>
        <v>13.299168714755364</v>
      </c>
      <c r="Y457" s="68"/>
      <c r="Z457" s="66" t="s">
        <v>3916</v>
      </c>
      <c r="AA457" s="3"/>
    </row>
    <row r="458" spans="1:27">
      <c r="A458" s="2" t="s">
        <v>3867</v>
      </c>
      <c r="B458" s="8" t="s">
        <v>3917</v>
      </c>
      <c r="C458" t="s">
        <v>3918</v>
      </c>
      <c r="D458" s="7" t="s">
        <v>3919</v>
      </c>
      <c r="E458" s="1">
        <v>2.8000000000000001E-2</v>
      </c>
      <c r="F458" s="1">
        <v>6.9</v>
      </c>
      <c r="G458" s="1">
        <v>26.05</v>
      </c>
      <c r="H458" s="1">
        <v>-10</v>
      </c>
      <c r="I458" s="1">
        <v>2.6</v>
      </c>
      <c r="J458" s="1">
        <v>-18.7</v>
      </c>
      <c r="L458" s="1">
        <v>19.7</v>
      </c>
      <c r="M458" s="1">
        <v>1</v>
      </c>
      <c r="N458" s="1">
        <v>10</v>
      </c>
      <c r="O458" s="1">
        <v>0.09</v>
      </c>
      <c r="Q458" s="118">
        <f t="shared" si="133"/>
        <v>0.82857924518129322</v>
      </c>
      <c r="R458" s="119">
        <f t="shared" si="134"/>
        <v>240.28798110257503</v>
      </c>
      <c r="S458" s="118">
        <f t="shared" si="135"/>
        <v>1.2454357829682516</v>
      </c>
      <c r="T458" s="118">
        <f t="shared" si="136"/>
        <v>13.782515237138018</v>
      </c>
      <c r="U458" s="118">
        <f t="shared" si="137"/>
        <v>-10.986351601347167</v>
      </c>
      <c r="V458" s="118">
        <f t="shared" si="138"/>
        <v>-16.341329969055856</v>
      </c>
      <c r="W458" s="118">
        <f t="shared" si="139"/>
        <v>-13.545166333265005</v>
      </c>
      <c r="X458" s="118">
        <f>IF(OR(N458="",R458=""),NA(),10*LOG10((G458+'CMOS FOM coeff. calculation'!$Q$3)^'CMOS FOM coeff. calculation'!$P$3*(1000*E458)^'CMOS FOM coeff. calculation'!$N$3*R458^'CMOS FOM coeff. calculation'!$O$3*N458^'CMOS FOM coeff. calculation'!$M$3))</f>
        <v>18.798835477038569</v>
      </c>
      <c r="Y458" s="68"/>
      <c r="Z458" s="66" t="s">
        <v>3920</v>
      </c>
      <c r="AA458" s="3"/>
    </row>
    <row r="459" spans="1:27">
      <c r="A459" s="2"/>
      <c r="B459" s="8"/>
      <c r="D459" s="7"/>
      <c r="E459" s="1">
        <v>2.8000000000000001E-2</v>
      </c>
      <c r="F459" s="1">
        <f>13.1</f>
        <v>13.1</v>
      </c>
      <c r="G459" s="1">
        <v>36.950000000000003</v>
      </c>
      <c r="H459" s="1">
        <v>-5</v>
      </c>
      <c r="I459" s="1">
        <v>2.9</v>
      </c>
      <c r="J459" s="1">
        <v>-18.3</v>
      </c>
      <c r="L459" s="1">
        <v>19.2</v>
      </c>
      <c r="M459" s="1">
        <v>1</v>
      </c>
      <c r="N459" s="1">
        <v>10</v>
      </c>
      <c r="O459" s="1">
        <v>0.09</v>
      </c>
      <c r="Q459" s="118">
        <f t="shared" si="133"/>
        <v>0.96140320860841511</v>
      </c>
      <c r="R459" s="119">
        <f t="shared" si="134"/>
        <v>278.80693049644037</v>
      </c>
      <c r="S459" s="118">
        <f t="shared" si="135"/>
        <v>1.2154776869306996</v>
      </c>
      <c r="T459" s="118">
        <f t="shared" si="136"/>
        <v>13.416185636089049</v>
      </c>
      <c r="U459" s="118">
        <f t="shared" si="137"/>
        <v>-9.6919479839031677</v>
      </c>
      <c r="V459" s="118">
        <f t="shared" si="138"/>
        <v>-16.516270580619754</v>
      </c>
      <c r="W459" s="118">
        <f t="shared" si="139"/>
        <v>-12.792032928433873</v>
      </c>
      <c r="X459" s="118">
        <f>IF(OR(N459="",R459=""),NA(),10*LOG10((G459+'CMOS FOM coeff. calculation'!$Q$3)^'CMOS FOM coeff. calculation'!$P$3*(1000*E459)^'CMOS FOM coeff. calculation'!$N$3*R459^'CMOS FOM coeff. calculation'!$O$3*N459^'CMOS FOM coeff. calculation'!$M$3))</f>
        <v>20.299286894296667</v>
      </c>
      <c r="Y459" s="68"/>
      <c r="Z459" s="66"/>
      <c r="AA459" s="3"/>
    </row>
    <row r="460" spans="1:27">
      <c r="A460" s="2" t="s">
        <v>3867</v>
      </c>
      <c r="B460" s="8" t="s">
        <v>3925</v>
      </c>
      <c r="C460" t="s">
        <v>3926</v>
      </c>
      <c r="D460" s="7" t="s">
        <v>3927</v>
      </c>
      <c r="E460" s="1">
        <v>2.1999999999999999E-2</v>
      </c>
      <c r="F460" s="1">
        <v>13.8</v>
      </c>
      <c r="G460" s="1">
        <v>67.5</v>
      </c>
      <c r="H460" s="1">
        <v>-10</v>
      </c>
      <c r="I460" s="1">
        <v>2.3199999999999998</v>
      </c>
      <c r="J460" s="1">
        <v>-8.5</v>
      </c>
      <c r="K460" s="1">
        <v>-1.9</v>
      </c>
      <c r="L460" s="1">
        <v>17.5</v>
      </c>
      <c r="N460" s="1">
        <v>11.2</v>
      </c>
      <c r="O460" s="1">
        <v>9.4500000000000001E-2</v>
      </c>
      <c r="Q460" s="118">
        <f t="shared" si="133"/>
        <v>0.71886583208082178</v>
      </c>
      <c r="R460" s="119">
        <f t="shared" si="134"/>
        <v>208.47109130343833</v>
      </c>
      <c r="S460" s="118">
        <f t="shared" si="135"/>
        <v>7.8020285927805402</v>
      </c>
      <c r="T460" s="118">
        <f t="shared" si="136"/>
        <v>11.96954426521817</v>
      </c>
      <c r="U460" s="118">
        <f t="shared" si="137"/>
        <v>-8.1699473105473821</v>
      </c>
      <c r="V460" s="118">
        <f t="shared" si="138"/>
        <v>-13.065334061043274</v>
      </c>
      <c r="W460" s="118">
        <f t="shared" si="139"/>
        <v>-9.2657371063724838</v>
      </c>
      <c r="X460" s="118">
        <f>IF(OR(N460="",R460=""),NA(),10*LOG10((G460+'CMOS FOM coeff. calculation'!$Q$3)^'CMOS FOM coeff. calculation'!$P$3*(1000*E460)^'CMOS FOM coeff. calculation'!$N$3*R460^'CMOS FOM coeff. calculation'!$O$3*N460^'CMOS FOM coeff. calculation'!$M$3))</f>
        <v>24.671551292434351</v>
      </c>
      <c r="Y460" s="68"/>
      <c r="Z460" s="66" t="s">
        <v>3928</v>
      </c>
      <c r="AA460" s="3"/>
    </row>
    <row r="461" spans="1:27">
      <c r="A461" s="2"/>
      <c r="B461" s="8"/>
      <c r="D461" s="7"/>
      <c r="Q461" s="118" t="str">
        <f t="shared" si="133"/>
        <v/>
      </c>
      <c r="R461" s="119" t="str">
        <f t="shared" si="134"/>
        <v/>
      </c>
      <c r="S461" s="118" t="str">
        <f t="shared" si="135"/>
        <v/>
      </c>
      <c r="T461" s="118" t="e">
        <f t="shared" si="136"/>
        <v>#N/A</v>
      </c>
      <c r="U461" s="118" t="e">
        <f t="shared" si="137"/>
        <v>#N/A</v>
      </c>
      <c r="V461" s="118" t="e">
        <f t="shared" si="138"/>
        <v>#N/A</v>
      </c>
      <c r="W461" s="118" t="e">
        <f t="shared" si="139"/>
        <v>#N/A</v>
      </c>
      <c r="X461" s="118" t="e">
        <f>IF(OR(N461="",R461=""),NA(),10*LOG10((G461+'CMOS FOM coeff. calculation'!$Q$3)^'CMOS FOM coeff. calculation'!$P$3*(1000*E461)^'CMOS FOM coeff. calculation'!$N$3*R461^'CMOS FOM coeff. calculation'!$O$3*N461^'CMOS FOM coeff. calculation'!$M$3))</f>
        <v>#N/A</v>
      </c>
      <c r="Y461" s="68"/>
      <c r="Z461" s="66"/>
      <c r="AA461" s="3"/>
    </row>
    <row r="462" spans="1:27">
      <c r="A462" s="56" t="s">
        <v>1031</v>
      </c>
      <c r="B462" s="55"/>
      <c r="C462" s="55"/>
      <c r="D462" s="55"/>
      <c r="E462" s="96"/>
      <c r="F462" s="96"/>
      <c r="G462" s="96"/>
      <c r="H462" s="96"/>
      <c r="I462" s="96"/>
      <c r="J462" s="96"/>
      <c r="K462" s="96"/>
      <c r="L462" s="96"/>
      <c r="M462" s="96"/>
      <c r="N462" s="96"/>
      <c r="O462" s="96"/>
      <c r="P462" s="96"/>
      <c r="Q462" s="124"/>
      <c r="R462" s="124"/>
      <c r="S462" s="124"/>
      <c r="T462" s="124"/>
      <c r="U462" s="124"/>
      <c r="V462" s="124"/>
      <c r="W462" s="124"/>
      <c r="X462" s="124"/>
      <c r="Y462" s="55"/>
      <c r="Z462" s="55"/>
    </row>
    <row r="463" spans="1:27">
      <c r="A463" t="s">
        <v>1041</v>
      </c>
      <c r="B463" s="8" t="s">
        <v>2038</v>
      </c>
      <c r="C463" t="s">
        <v>2039</v>
      </c>
      <c r="D463" s="7" t="s">
        <v>2040</v>
      </c>
      <c r="E463" s="1">
        <v>0.25</v>
      </c>
      <c r="F463" s="1">
        <v>0.6</v>
      </c>
      <c r="G463" s="1">
        <v>2.1</v>
      </c>
      <c r="H463" s="1">
        <v>-10</v>
      </c>
      <c r="I463" s="1">
        <v>2.5</v>
      </c>
      <c r="K463" s="1">
        <v>4</v>
      </c>
      <c r="L463" s="1">
        <v>13</v>
      </c>
      <c r="M463" s="1">
        <v>3</v>
      </c>
      <c r="N463" s="1">
        <v>15</v>
      </c>
      <c r="Q463" s="118">
        <f t="shared" ref="Q463:Q483" si="140">IF(OR(I463="",L463=""),"",(10^(I463/10)-1)*10^(L463/10)/(10^(L463/10)-1))</f>
        <v>0.81934387926263053</v>
      </c>
      <c r="R463" s="119">
        <f t="shared" ref="R463:R483" si="141">IF(Q463="","",290*Q463)</f>
        <v>237.60972498616286</v>
      </c>
      <c r="S463" s="118" t="str">
        <f t="shared" ref="S463:S483" si="142">IF(OR(J463="",L463=""),"",10^(J463/10)*(10^(L463/10)-1))</f>
        <v/>
      </c>
      <c r="T463" s="118">
        <f t="shared" ref="T463:T483" si="143">IF(OR(Q463="",N463="",E463="",G463=""),NA(),10*LOG10(Q463*N463^(1/3)*E463^(-4/3)*G463^(-2/3)))</f>
        <v>8.9343042538600308</v>
      </c>
      <c r="U463" s="118">
        <f t="shared" ref="U463:U483" si="144">IF(OR(ISNA(T463),F463=""),NA(),10*LOG10(F463^(1/3))-T463)</f>
        <v>-9.6738000859145519</v>
      </c>
      <c r="V463" s="118" t="e">
        <f t="shared" ref="V463:V483" si="145">IF(OR(ISNA(T463),S463=""),NA(),10*LOG10(S463^(1/3)*E463*G463^(1/3)/Q463/N463^(2/3)))</f>
        <v>#N/A</v>
      </c>
      <c r="W463" s="118" t="e">
        <f t="shared" ref="W463:W483" si="146">IF(OR(ISNA(V463),F463=""),NA(),V463+10*LOG10(F463^(1/3)))</f>
        <v>#N/A</v>
      </c>
      <c r="X463" s="118">
        <f>IF(OR(N463="",R463=""),NA(),10*LOG10((G463+'CMOS FOM coeff. calculation'!$Q$3)^'CMOS FOM coeff. calculation'!$P$3*(1000*E463)^'CMOS FOM coeff. calculation'!$N$3*R463^'CMOS FOM coeff. calculation'!$O$3*N463^'CMOS FOM coeff. calculation'!$M$3))</f>
        <v>17.294371725806499</v>
      </c>
      <c r="Y463" s="68"/>
      <c r="Z463" t="s">
        <v>2111</v>
      </c>
      <c r="AA463" s="3" t="s">
        <v>5</v>
      </c>
    </row>
    <row r="464" spans="1:27">
      <c r="A464" t="s">
        <v>1063</v>
      </c>
      <c r="B464" s="8" t="s">
        <v>2041</v>
      </c>
      <c r="C464" t="s">
        <v>2042</v>
      </c>
      <c r="D464" s="7" t="s">
        <v>2043</v>
      </c>
      <c r="E464" s="1">
        <v>0.35</v>
      </c>
      <c r="F464" s="1">
        <v>0.04</v>
      </c>
      <c r="G464" s="1">
        <v>0.435</v>
      </c>
      <c r="H464" s="1">
        <v>-24</v>
      </c>
      <c r="I464" s="1">
        <v>2.91</v>
      </c>
      <c r="J464" s="1">
        <v>-13.7</v>
      </c>
      <c r="K464" s="1">
        <v>-1</v>
      </c>
      <c r="L464" s="1">
        <v>17.5</v>
      </c>
      <c r="M464" s="1">
        <v>2.5</v>
      </c>
      <c r="N464" s="1">
        <v>12.5</v>
      </c>
      <c r="O464" s="1">
        <v>0.84</v>
      </c>
      <c r="Q464" s="118">
        <f t="shared" si="140"/>
        <v>0.97161753026034325</v>
      </c>
      <c r="R464" s="119">
        <f t="shared" si="141"/>
        <v>281.76908377549955</v>
      </c>
      <c r="S464" s="118">
        <f t="shared" si="142"/>
        <v>2.3561749671393311</v>
      </c>
      <c r="T464" s="118">
        <f t="shared" si="143"/>
        <v>12.020484491279541</v>
      </c>
      <c r="U464" s="118">
        <f t="shared" si="144"/>
        <v>-16.680284520186333</v>
      </c>
      <c r="V464" s="118">
        <f t="shared" si="145"/>
        <v>-11.711350413736499</v>
      </c>
      <c r="W464" s="118">
        <f t="shared" si="146"/>
        <v>-16.371150442643291</v>
      </c>
      <c r="X464" s="118">
        <f>IF(OR(N464="",R464=""),NA(),10*LOG10((G464+'CMOS FOM coeff. calculation'!$Q$3)^'CMOS FOM coeff. calculation'!$P$3*(1000*E464)^'CMOS FOM coeff. calculation'!$N$3*R464^'CMOS FOM coeff. calculation'!$O$3*N464^'CMOS FOM coeff. calculation'!$M$3))</f>
        <v>16.873470761682871</v>
      </c>
      <c r="Y464" s="68"/>
      <c r="Z464" t="s">
        <v>2112</v>
      </c>
      <c r="AA464" s="3" t="s">
        <v>5</v>
      </c>
    </row>
    <row r="465" spans="1:27">
      <c r="A465" t="s">
        <v>1063</v>
      </c>
      <c r="B465" s="8" t="s">
        <v>2044</v>
      </c>
      <c r="C465" t="s">
        <v>2045</v>
      </c>
      <c r="D465" s="8" t="s">
        <v>2046</v>
      </c>
      <c r="E465" s="1">
        <v>0.25</v>
      </c>
      <c r="G465" s="1">
        <v>5</v>
      </c>
      <c r="H465" s="1">
        <v>-23</v>
      </c>
      <c r="I465" s="1">
        <v>1.22</v>
      </c>
      <c r="K465" s="1">
        <v>21</v>
      </c>
      <c r="L465" s="1">
        <v>17.399999999999999</v>
      </c>
      <c r="Q465" s="118">
        <f t="shared" si="140"/>
        <v>0.33035297104521827</v>
      </c>
      <c r="R465" s="119">
        <f t="shared" si="141"/>
        <v>95.802361603113297</v>
      </c>
      <c r="S465" s="118" t="str">
        <f t="shared" si="142"/>
        <v/>
      </c>
      <c r="T465" s="118" t="e">
        <f t="shared" si="143"/>
        <v>#N/A</v>
      </c>
      <c r="U465" s="118" t="e">
        <f t="shared" si="144"/>
        <v>#N/A</v>
      </c>
      <c r="V465" s="118" t="e">
        <f t="shared" si="145"/>
        <v>#N/A</v>
      </c>
      <c r="W465" s="118" t="e">
        <f t="shared" si="146"/>
        <v>#N/A</v>
      </c>
      <c r="X465" s="118" t="e">
        <f>IF(OR(N465="",R465=""),NA(),10*LOG10((G465+'CMOS FOM coeff. calculation'!$Q$3)^'CMOS FOM coeff. calculation'!$P$3*(1000*E465)^'CMOS FOM coeff. calculation'!$N$3*R465^'CMOS FOM coeff. calculation'!$O$3*N465^'CMOS FOM coeff. calculation'!$M$3))</f>
        <v>#N/A</v>
      </c>
      <c r="Y465" s="68"/>
      <c r="Z465" t="s">
        <v>2113</v>
      </c>
      <c r="AA465" s="3" t="s">
        <v>5</v>
      </c>
    </row>
    <row r="466" spans="1:27">
      <c r="A466" t="s">
        <v>1110</v>
      </c>
      <c r="B466" s="8" t="s">
        <v>1111</v>
      </c>
      <c r="C466" t="s">
        <v>1112</v>
      </c>
      <c r="D466" s="7" t="s">
        <v>1113</v>
      </c>
      <c r="E466" s="1">
        <v>0.18</v>
      </c>
      <c r="F466" s="1">
        <v>3.6</v>
      </c>
      <c r="G466" s="1">
        <v>6</v>
      </c>
      <c r="H466" s="1">
        <v>-10</v>
      </c>
      <c r="I466" s="1">
        <v>3</v>
      </c>
      <c r="K466" s="1">
        <v>-2.2000000000000002</v>
      </c>
      <c r="L466" s="1">
        <v>19.100000000000001</v>
      </c>
      <c r="M466" s="1">
        <v>1.8</v>
      </c>
      <c r="N466" s="1">
        <v>32.4</v>
      </c>
      <c r="P466" s="1">
        <v>1.6303000000000001</v>
      </c>
      <c r="Q466" s="118">
        <f t="shared" si="140"/>
        <v>1.0076592318140964</v>
      </c>
      <c r="R466" s="119">
        <f t="shared" si="141"/>
        <v>292.22117722608795</v>
      </c>
      <c r="S466" s="118" t="str">
        <f t="shared" si="142"/>
        <v/>
      </c>
      <c r="T466" s="118">
        <f t="shared" si="143"/>
        <v>9.8103118443959563</v>
      </c>
      <c r="U466" s="118">
        <f t="shared" si="144"/>
        <v>-7.9559701751716654</v>
      </c>
      <c r="V466" s="118" t="e">
        <f t="shared" si="145"/>
        <v>#N/A</v>
      </c>
      <c r="W466" s="118" t="e">
        <f t="shared" si="146"/>
        <v>#N/A</v>
      </c>
      <c r="X466" s="118">
        <f>IF(OR(N466="",R466=""),NA(),10*LOG10((G466+'CMOS FOM coeff. calculation'!$Q$3)^'CMOS FOM coeff. calculation'!$P$3*(1000*E466)^'CMOS FOM coeff. calculation'!$N$3*R466^'CMOS FOM coeff. calculation'!$O$3*N466^'CMOS FOM coeff. calculation'!$M$3))</f>
        <v>16.681439730273727</v>
      </c>
      <c r="Y466" s="68"/>
      <c r="Z466" t="s">
        <v>2114</v>
      </c>
      <c r="AA466" s="3" t="s">
        <v>5</v>
      </c>
    </row>
    <row r="467" spans="1:27" ht="15.75" customHeight="1">
      <c r="A467" t="s">
        <v>1135</v>
      </c>
      <c r="B467" s="8" t="s">
        <v>1138</v>
      </c>
      <c r="C467" t="s">
        <v>1140</v>
      </c>
      <c r="D467" s="7" t="s">
        <v>1139</v>
      </c>
      <c r="E467" s="1">
        <v>0.18</v>
      </c>
      <c r="F467" s="1">
        <v>3.6</v>
      </c>
      <c r="G467" s="1">
        <v>13.1</v>
      </c>
      <c r="H467" s="1">
        <v>-10</v>
      </c>
      <c r="I467" s="1">
        <v>2.5</v>
      </c>
      <c r="J467" s="1">
        <v>-6.5</v>
      </c>
      <c r="K467" s="1">
        <v>4.0999999999999996</v>
      </c>
      <c r="L467" s="1">
        <v>10</v>
      </c>
      <c r="M467" s="1">
        <v>1.6</v>
      </c>
      <c r="N467" s="1">
        <v>17.600000000000001</v>
      </c>
      <c r="P467" s="1">
        <v>0.46150000000000002</v>
      </c>
      <c r="Q467" s="118">
        <f t="shared" si="140"/>
        <v>0.86475490004324784</v>
      </c>
      <c r="R467" s="119">
        <f t="shared" si="141"/>
        <v>250.77892101254187</v>
      </c>
      <c r="S467" s="118">
        <f t="shared" si="142"/>
        <v>2.0148490247115052</v>
      </c>
      <c r="T467" s="118">
        <f t="shared" si="143"/>
        <v>6.0018638360745511</v>
      </c>
      <c r="U467" s="118">
        <f t="shared" si="144"/>
        <v>-4.1475221668502602</v>
      </c>
      <c r="V467" s="118">
        <f t="shared" si="145"/>
        <v>-10.381243699854203</v>
      </c>
      <c r="W467" s="118">
        <f t="shared" si="146"/>
        <v>-8.5269020306299126</v>
      </c>
      <c r="X467" s="118">
        <f>IF(OR(N467="",R467=""),NA(),10*LOG10((G467+'CMOS FOM coeff. calculation'!$Q$3)^'CMOS FOM coeff. calculation'!$P$3*(1000*E467)^'CMOS FOM coeff. calculation'!$N$3*R467^'CMOS FOM coeff. calculation'!$O$3*N467^'CMOS FOM coeff. calculation'!$M$3))</f>
        <v>20.425515875620455</v>
      </c>
      <c r="Y467" s="68"/>
      <c r="Z467" t="s">
        <v>2115</v>
      </c>
      <c r="AA467" s="3" t="s">
        <v>5</v>
      </c>
    </row>
    <row r="468" spans="1:27">
      <c r="A468" t="s">
        <v>1135</v>
      </c>
      <c r="B468" s="8" t="s">
        <v>2047</v>
      </c>
      <c r="C468" t="s">
        <v>2048</v>
      </c>
      <c r="D468" s="7" t="s">
        <v>2049</v>
      </c>
      <c r="E468" s="1">
        <v>0.25</v>
      </c>
      <c r="F468" s="1">
        <v>0.51</v>
      </c>
      <c r="G468" s="1">
        <v>0.30499999999999999</v>
      </c>
      <c r="H468" s="1">
        <v>-8</v>
      </c>
      <c r="I468" s="1">
        <v>1.8</v>
      </c>
      <c r="J468" s="1">
        <v>-6</v>
      </c>
      <c r="K468" s="1">
        <v>6.15</v>
      </c>
      <c r="L468" s="1">
        <v>13.8</v>
      </c>
      <c r="M468" s="1">
        <v>2.4</v>
      </c>
      <c r="N468" s="1">
        <v>33.6</v>
      </c>
      <c r="P468" s="1">
        <v>0.38750000000000001</v>
      </c>
      <c r="Q468" s="118">
        <f t="shared" si="140"/>
        <v>0.53590133432010334</v>
      </c>
      <c r="R468" s="119">
        <f t="shared" si="141"/>
        <v>155.41138695282996</v>
      </c>
      <c r="S468" s="118">
        <f t="shared" si="142"/>
        <v>5.7744072175926231</v>
      </c>
      <c r="T468" s="118">
        <f t="shared" si="143"/>
        <v>13.844113597141114</v>
      </c>
      <c r="U468" s="118">
        <f t="shared" si="144"/>
        <v>-14.818879676814658</v>
      </c>
      <c r="V468" s="118">
        <f t="shared" si="145"/>
        <v>-12.667685989994819</v>
      </c>
      <c r="W468" s="118">
        <f t="shared" si="146"/>
        <v>-13.642452069668364</v>
      </c>
      <c r="X468" s="118">
        <f>IF(OR(N468="",R468=""),NA(),10*LOG10((G468+'CMOS FOM coeff. calculation'!$Q$3)^'CMOS FOM coeff. calculation'!$P$3*(1000*E468)^'CMOS FOM coeff. calculation'!$N$3*R468^'CMOS FOM coeff. calculation'!$O$3*N468^'CMOS FOM coeff. calculation'!$M$3))</f>
        <v>17.239910642204986</v>
      </c>
      <c r="Y468" s="68"/>
      <c r="Z468" t="s">
        <v>2116</v>
      </c>
      <c r="AA468" s="3" t="s">
        <v>5</v>
      </c>
    </row>
    <row r="469" spans="1:27">
      <c r="A469" t="s">
        <v>1135</v>
      </c>
      <c r="B469" s="8" t="s">
        <v>79</v>
      </c>
      <c r="C469" t="s">
        <v>1142</v>
      </c>
      <c r="D469" s="7" t="s">
        <v>1141</v>
      </c>
      <c r="E469" s="1">
        <v>0.13</v>
      </c>
      <c r="F469" s="1">
        <v>0.75</v>
      </c>
      <c r="G469" s="1">
        <v>2.625</v>
      </c>
      <c r="H469" s="1">
        <v>-10</v>
      </c>
      <c r="I469" s="1">
        <v>3.6</v>
      </c>
      <c r="L469" s="1">
        <v>13</v>
      </c>
      <c r="M469" s="1">
        <v>1.2</v>
      </c>
      <c r="N469" s="1">
        <v>6.5</v>
      </c>
      <c r="P469" s="1">
        <v>0.8</v>
      </c>
      <c r="Q469" s="118">
        <f t="shared" si="140"/>
        <v>1.3589778896765341</v>
      </c>
      <c r="R469" s="119">
        <f t="shared" si="141"/>
        <v>394.10358800619491</v>
      </c>
      <c r="S469" s="118" t="str">
        <f t="shared" si="142"/>
        <v/>
      </c>
      <c r="T469" s="118">
        <f t="shared" si="143"/>
        <v>13.061728348748098</v>
      </c>
      <c r="U469" s="118">
        <f t="shared" si="144"/>
        <v>-13.478190804109097</v>
      </c>
      <c r="V469" s="118" t="e">
        <f t="shared" si="145"/>
        <v>#N/A</v>
      </c>
      <c r="W469" s="118" t="e">
        <f t="shared" si="146"/>
        <v>#N/A</v>
      </c>
      <c r="X469" s="118">
        <f>IF(OR(N469="",R469=""),NA(),10*LOG10((G469+'CMOS FOM coeff. calculation'!$Q$3)^'CMOS FOM coeff. calculation'!$P$3*(1000*E469)^'CMOS FOM coeff. calculation'!$N$3*R469^'CMOS FOM coeff. calculation'!$O$3*N469^'CMOS FOM coeff. calculation'!$M$3))</f>
        <v>14.330384711613211</v>
      </c>
      <c r="Y469" s="68"/>
      <c r="Z469" t="s">
        <v>2117</v>
      </c>
      <c r="AA469" s="3" t="s">
        <v>5</v>
      </c>
    </row>
    <row r="470" spans="1:27">
      <c r="A470" t="s">
        <v>1159</v>
      </c>
      <c r="B470" s="8" t="s">
        <v>1169</v>
      </c>
      <c r="C470" t="s">
        <v>1171</v>
      </c>
      <c r="D470" s="7" t="s">
        <v>1170</v>
      </c>
      <c r="E470" s="1">
        <v>6.5000000000000002E-2</v>
      </c>
      <c r="F470" s="1">
        <v>0.4</v>
      </c>
      <c r="G470" s="1">
        <v>5.8</v>
      </c>
      <c r="H470" s="1">
        <v>-10</v>
      </c>
      <c r="I470" s="1">
        <v>1.9</v>
      </c>
      <c r="K470" s="1">
        <v>-11</v>
      </c>
      <c r="L470" s="1">
        <v>18</v>
      </c>
      <c r="M470" s="1">
        <v>1.2</v>
      </c>
      <c r="N470" s="1">
        <v>8.4</v>
      </c>
      <c r="Q470" s="118">
        <f t="shared" si="140"/>
        <v>0.55765485271051951</v>
      </c>
      <c r="R470" s="119">
        <f t="shared" si="141"/>
        <v>161.71990728605067</v>
      </c>
      <c r="S470" s="118" t="str">
        <f t="shared" si="142"/>
        <v/>
      </c>
      <c r="T470" s="118">
        <f t="shared" si="143"/>
        <v>11.282887765701178</v>
      </c>
      <c r="U470" s="118">
        <f t="shared" si="144"/>
        <v>-12.609354461274636</v>
      </c>
      <c r="V470" s="118" t="e">
        <f t="shared" si="145"/>
        <v>#N/A</v>
      </c>
      <c r="W470" s="118" t="e">
        <f t="shared" si="146"/>
        <v>#N/A</v>
      </c>
      <c r="X470" s="118">
        <f>IF(OR(N470="",R470=""),NA(),10*LOG10((G470+'CMOS FOM coeff. calculation'!$Q$3)^'CMOS FOM coeff. calculation'!$P$3*(1000*E470)^'CMOS FOM coeff. calculation'!$N$3*R470^'CMOS FOM coeff. calculation'!$O$3*N470^'CMOS FOM coeff. calculation'!$M$3))</f>
        <v>16.983563484527938</v>
      </c>
      <c r="Y470" s="68"/>
      <c r="Z470" t="s">
        <v>2118</v>
      </c>
      <c r="AA470" s="3" t="s">
        <v>5</v>
      </c>
    </row>
    <row r="471" spans="1:27">
      <c r="A471" t="s">
        <v>1159</v>
      </c>
      <c r="B471" s="8" t="s">
        <v>1173</v>
      </c>
      <c r="C471" t="s">
        <v>1174</v>
      </c>
      <c r="D471" s="7" t="s">
        <v>1172</v>
      </c>
      <c r="E471" s="1">
        <v>0.13</v>
      </c>
      <c r="F471" s="1">
        <v>4</v>
      </c>
      <c r="G471" s="1">
        <v>38</v>
      </c>
      <c r="H471" s="1">
        <v>-10</v>
      </c>
      <c r="I471" s="1">
        <v>3.8</v>
      </c>
      <c r="J471" s="1">
        <v>-13.8</v>
      </c>
      <c r="L471" s="1">
        <v>12.6</v>
      </c>
      <c r="N471" s="1">
        <v>24</v>
      </c>
      <c r="P471" s="1">
        <v>0.252</v>
      </c>
      <c r="Q471" s="118">
        <f t="shared" si="140"/>
        <v>1.4801745612019663</v>
      </c>
      <c r="R471" s="119">
        <f t="shared" si="141"/>
        <v>429.25062274857021</v>
      </c>
      <c r="S471" s="118">
        <f t="shared" si="142"/>
        <v>0.71689063668215014</v>
      </c>
      <c r="T471" s="118">
        <f t="shared" si="143"/>
        <v>7.5860314908410578</v>
      </c>
      <c r="U471" s="118">
        <f t="shared" si="144"/>
        <v>-5.579164853081183</v>
      </c>
      <c r="V471" s="118">
        <f t="shared" si="145"/>
        <v>-14.980982432634399</v>
      </c>
      <c r="W471" s="118">
        <f t="shared" si="146"/>
        <v>-12.974115794874525</v>
      </c>
      <c r="X471" s="118">
        <f>IF(OR(N471="",R471=""),NA(),10*LOG10((G471+'CMOS FOM coeff. calculation'!$Q$3)^'CMOS FOM coeff. calculation'!$P$3*(1000*E471)^'CMOS FOM coeff. calculation'!$N$3*R471^'CMOS FOM coeff. calculation'!$O$3*N471^'CMOS FOM coeff. calculation'!$M$3))</f>
        <v>22.696192637674248</v>
      </c>
      <c r="Y471" s="68"/>
      <c r="Z471" t="s">
        <v>2119</v>
      </c>
      <c r="AA471" s="3" t="s">
        <v>5</v>
      </c>
    </row>
    <row r="472" spans="1:27">
      <c r="A472" t="s">
        <v>1159</v>
      </c>
      <c r="B472" s="8" t="s">
        <v>1175</v>
      </c>
      <c r="C472" t="s">
        <v>1177</v>
      </c>
      <c r="D472" s="7" t="s">
        <v>1176</v>
      </c>
      <c r="E472" s="1">
        <v>0.18</v>
      </c>
      <c r="F472" s="1">
        <v>9</v>
      </c>
      <c r="G472" s="1">
        <v>6.5</v>
      </c>
      <c r="I472" s="1">
        <v>3.4</v>
      </c>
      <c r="L472" s="1">
        <v>12</v>
      </c>
      <c r="M472" s="1">
        <v>1.2</v>
      </c>
      <c r="N472" s="1">
        <v>12</v>
      </c>
      <c r="P472" s="1">
        <v>0.36480000000000001</v>
      </c>
      <c r="Q472" s="118">
        <f t="shared" si="140"/>
        <v>1.2677513248909997</v>
      </c>
      <c r="R472" s="119">
        <f t="shared" si="141"/>
        <v>367.64788421838995</v>
      </c>
      <c r="S472" s="118" t="str">
        <f t="shared" si="142"/>
        <v/>
      </c>
      <c r="T472" s="118">
        <f t="shared" si="143"/>
        <v>9.1378891053857245</v>
      </c>
      <c r="U472" s="118">
        <f t="shared" si="144"/>
        <v>-5.9570807405879744</v>
      </c>
      <c r="V472" s="118" t="e">
        <f t="shared" si="145"/>
        <v>#N/A</v>
      </c>
      <c r="W472" s="118" t="e">
        <f t="shared" si="146"/>
        <v>#N/A</v>
      </c>
      <c r="X472" s="118">
        <f>IF(OR(N472="",R472=""),NA(),10*LOG10((G472+'CMOS FOM coeff. calculation'!$Q$3)^'CMOS FOM coeff. calculation'!$P$3*(1000*E472)^'CMOS FOM coeff. calculation'!$N$3*R472^'CMOS FOM coeff. calculation'!$O$3*N472^'CMOS FOM coeff. calculation'!$M$3))</f>
        <v>16.859063313874554</v>
      </c>
      <c r="Y472" s="68"/>
      <c r="Z472" t="s">
        <v>2120</v>
      </c>
      <c r="AA472" s="3" t="s">
        <v>5</v>
      </c>
    </row>
    <row r="473" spans="1:27">
      <c r="A473" t="s">
        <v>1159</v>
      </c>
      <c r="B473" s="8" t="s">
        <v>1182</v>
      </c>
      <c r="C473" t="s">
        <v>1183</v>
      </c>
      <c r="D473" s="7" t="s">
        <v>1181</v>
      </c>
      <c r="E473" s="1">
        <v>6.5000000000000002E-2</v>
      </c>
      <c r="F473" s="1">
        <v>7</v>
      </c>
      <c r="G473" s="1">
        <v>71.5</v>
      </c>
      <c r="H473" s="1">
        <v>-8</v>
      </c>
      <c r="I473" s="1">
        <v>7.4</v>
      </c>
      <c r="L473" s="1">
        <v>17</v>
      </c>
      <c r="N473" s="1">
        <v>32</v>
      </c>
      <c r="P473" s="1">
        <v>0.42499999999999999</v>
      </c>
      <c r="Q473" s="118">
        <f t="shared" si="140"/>
        <v>4.5869300247745652</v>
      </c>
      <c r="R473" s="119">
        <f t="shared" si="141"/>
        <v>1330.209707184624</v>
      </c>
      <c r="S473" s="118" t="str">
        <f t="shared" si="142"/>
        <v/>
      </c>
      <c r="T473" s="118">
        <f t="shared" si="143"/>
        <v>15.098169375833992</v>
      </c>
      <c r="U473" s="118">
        <f t="shared" si="144"/>
        <v>-12.281175909119803</v>
      </c>
      <c r="V473" s="118" t="e">
        <f t="shared" si="145"/>
        <v>#N/A</v>
      </c>
      <c r="W473" s="118" t="e">
        <f t="shared" si="146"/>
        <v>#N/A</v>
      </c>
      <c r="X473" s="118">
        <f>IF(OR(N473="",R473=""),NA(),10*LOG10((G473+'CMOS FOM coeff. calculation'!$Q$3)^'CMOS FOM coeff. calculation'!$P$3*(1000*E473)^'CMOS FOM coeff. calculation'!$N$3*R473^'CMOS FOM coeff. calculation'!$O$3*N473^'CMOS FOM coeff. calculation'!$M$3))</f>
        <v>20.224428963421914</v>
      </c>
      <c r="Y473" s="68"/>
      <c r="Z473" t="s">
        <v>2121</v>
      </c>
      <c r="AA473" s="3" t="s">
        <v>5</v>
      </c>
    </row>
    <row r="474" spans="1:27">
      <c r="A474" t="s">
        <v>1186</v>
      </c>
      <c r="B474" s="8" t="s">
        <v>1185</v>
      </c>
      <c r="C474" t="s">
        <v>1187</v>
      </c>
      <c r="D474" s="7" t="s">
        <v>1184</v>
      </c>
      <c r="E474" s="1">
        <v>0.13</v>
      </c>
      <c r="F474" s="1">
        <v>8.8000000000000007</v>
      </c>
      <c r="G474" s="1">
        <v>57.9</v>
      </c>
      <c r="H474" s="1">
        <v>-13.4</v>
      </c>
      <c r="I474" s="1">
        <v>5.4</v>
      </c>
      <c r="J474" s="1">
        <v>-14.2</v>
      </c>
      <c r="K474" s="1">
        <v>-4.4000000000000004</v>
      </c>
      <c r="L474" s="1">
        <v>10.4</v>
      </c>
      <c r="M474" s="1">
        <v>1.5</v>
      </c>
      <c r="N474" s="1">
        <v>29.1</v>
      </c>
      <c r="O474" s="1">
        <v>1.0900000000000001</v>
      </c>
      <c r="Q474" s="118">
        <f t="shared" si="140"/>
        <v>2.7149773848876904</v>
      </c>
      <c r="R474" s="119">
        <f t="shared" si="141"/>
        <v>787.34344161743024</v>
      </c>
      <c r="S474" s="118">
        <f t="shared" si="142"/>
        <v>0.37885044383827932</v>
      </c>
      <c r="T474" s="118">
        <f t="shared" si="143"/>
        <v>9.2802036713865874</v>
      </c>
      <c r="U474" s="118">
        <f t="shared" si="144"/>
        <v>-6.1319280975526915</v>
      </c>
      <c r="V474" s="118">
        <f t="shared" si="145"/>
        <v>-18.487027353524162</v>
      </c>
      <c r="W474" s="118">
        <f t="shared" si="146"/>
        <v>-15.338751779690266</v>
      </c>
      <c r="X474" s="118">
        <f>IF(OR(N474="",R474=""),NA(),10*LOG10((G474+'CMOS FOM coeff. calculation'!$Q$3)^'CMOS FOM coeff. calculation'!$P$3*(1000*E474)^'CMOS FOM coeff. calculation'!$N$3*R474^'CMOS FOM coeff. calculation'!$O$3*N474^'CMOS FOM coeff. calculation'!$M$3))</f>
        <v>22.963044854137152</v>
      </c>
      <c r="Y474" s="68"/>
      <c r="Z474" t="s">
        <v>2122</v>
      </c>
      <c r="AA474" s="3" t="s">
        <v>1188</v>
      </c>
    </row>
    <row r="475" spans="1:27">
      <c r="E475" s="1">
        <v>0.13</v>
      </c>
      <c r="F475" s="1">
        <v>8.5</v>
      </c>
      <c r="G475" s="1">
        <v>57.75</v>
      </c>
      <c r="H475" s="1">
        <v>-13.6</v>
      </c>
      <c r="I475" s="1">
        <v>4.9000000000000004</v>
      </c>
      <c r="J475" s="1">
        <v>-15</v>
      </c>
      <c r="K475" s="1">
        <v>-4.7</v>
      </c>
      <c r="L475" s="1">
        <v>12.2</v>
      </c>
      <c r="M475" s="1">
        <v>1.5</v>
      </c>
      <c r="N475" s="1">
        <v>29.1</v>
      </c>
      <c r="O475" s="1">
        <v>1.0900000000000001</v>
      </c>
      <c r="Q475" s="118">
        <f t="shared" si="140"/>
        <v>2.2243242206846841</v>
      </c>
      <c r="R475" s="119">
        <f t="shared" si="141"/>
        <v>645.05402399855836</v>
      </c>
      <c r="S475" s="118">
        <f t="shared" si="142"/>
        <v>0.49318468364808887</v>
      </c>
      <c r="T475" s="118">
        <f t="shared" si="143"/>
        <v>8.4220329178659235</v>
      </c>
      <c r="U475" s="118">
        <f t="shared" si="144"/>
        <v>-5.3239698321516151</v>
      </c>
      <c r="V475" s="118">
        <f t="shared" si="145"/>
        <v>-17.243295415134618</v>
      </c>
      <c r="W475" s="118">
        <f t="shared" si="146"/>
        <v>-14.14523232942031</v>
      </c>
      <c r="X475" s="118">
        <f>IF(OR(N475="",R475=""),NA(),10*LOG10((G475+'CMOS FOM coeff. calculation'!$Q$3)^'CMOS FOM coeff. calculation'!$P$3*(1000*E475)^'CMOS FOM coeff. calculation'!$N$3*R475^'CMOS FOM coeff. calculation'!$O$3*N475^'CMOS FOM coeff. calculation'!$M$3))</f>
        <v>23.724068654349175</v>
      </c>
      <c r="Y475" s="68"/>
    </row>
    <row r="476" spans="1:27">
      <c r="A476" t="s">
        <v>1186</v>
      </c>
      <c r="B476" s="8" t="s">
        <v>1190</v>
      </c>
      <c r="C476" t="s">
        <v>1203</v>
      </c>
      <c r="D476" s="7" t="s">
        <v>1189</v>
      </c>
      <c r="E476" s="1">
        <v>6.5000000000000002E-2</v>
      </c>
      <c r="F476" s="1">
        <v>0.6</v>
      </c>
      <c r="G476" s="1">
        <v>5.8</v>
      </c>
      <c r="H476" s="1">
        <v>-15.9</v>
      </c>
      <c r="I476" s="1">
        <v>2.57</v>
      </c>
      <c r="K476" s="1">
        <v>-11</v>
      </c>
      <c r="L476" s="1">
        <v>16.100000000000001</v>
      </c>
      <c r="M476" s="1">
        <v>1.2</v>
      </c>
      <c r="N476" s="1">
        <v>7.8</v>
      </c>
      <c r="Q476" s="118">
        <f t="shared" si="140"/>
        <v>0.8274865111768771</v>
      </c>
      <c r="R476" s="119">
        <f t="shared" si="141"/>
        <v>239.97108824129435</v>
      </c>
      <c r="S476" s="118" t="str">
        <f t="shared" si="142"/>
        <v/>
      </c>
      <c r="T476" s="118">
        <f t="shared" si="143"/>
        <v>12.889559860869394</v>
      </c>
      <c r="U476" s="118">
        <f t="shared" si="144"/>
        <v>-13.629055692923915</v>
      </c>
      <c r="V476" s="118" t="e">
        <f t="shared" si="145"/>
        <v>#N/A</v>
      </c>
      <c r="W476" s="118" t="e">
        <f t="shared" si="146"/>
        <v>#N/A</v>
      </c>
      <c r="X476" s="118">
        <f>IF(OR(N476="",R476=""),NA(),10*LOG10((G476+'CMOS FOM coeff. calculation'!$Q$3)^'CMOS FOM coeff. calculation'!$P$3*(1000*E476)^'CMOS FOM coeff. calculation'!$N$3*R476^'CMOS FOM coeff. calculation'!$O$3*N476^'CMOS FOM coeff. calculation'!$M$3))</f>
        <v>15.505373915505142</v>
      </c>
      <c r="Y476" s="68"/>
      <c r="Z476" t="s">
        <v>2123</v>
      </c>
      <c r="AA476" s="3" t="s">
        <v>5</v>
      </c>
    </row>
    <row r="477" spans="1:27">
      <c r="A477" t="s">
        <v>1186</v>
      </c>
      <c r="B477" s="8" t="s">
        <v>1198</v>
      </c>
      <c r="C477" t="s">
        <v>1199</v>
      </c>
      <c r="D477" s="7" t="s">
        <v>1197</v>
      </c>
      <c r="E477" s="1">
        <v>0.13</v>
      </c>
      <c r="F477" s="1">
        <v>9</v>
      </c>
      <c r="G477" s="1">
        <v>24.5</v>
      </c>
      <c r="H477" s="1">
        <v>-6</v>
      </c>
      <c r="I477" s="1">
        <v>3.85</v>
      </c>
      <c r="J477" s="1">
        <v>-25</v>
      </c>
      <c r="K477" s="1">
        <v>-12.4</v>
      </c>
      <c r="L477" s="1">
        <v>19.100000000000001</v>
      </c>
      <c r="M477" s="1">
        <v>0.7</v>
      </c>
      <c r="N477" s="1">
        <v>18.850000000000001</v>
      </c>
      <c r="P477" s="1">
        <v>0.38129999999999997</v>
      </c>
      <c r="Q477" s="118">
        <f t="shared" si="140"/>
        <v>1.444379849300264</v>
      </c>
      <c r="R477" s="119">
        <f t="shared" si="141"/>
        <v>418.87015629707656</v>
      </c>
      <c r="S477" s="118">
        <f t="shared" si="142"/>
        <v>0.25387730061671787</v>
      </c>
      <c r="T477" s="118">
        <f t="shared" si="143"/>
        <v>8.4008334643615843</v>
      </c>
      <c r="U477" s="118">
        <f t="shared" si="144"/>
        <v>-5.2200250995638342</v>
      </c>
      <c r="V477" s="118">
        <f t="shared" si="145"/>
        <v>-16.313489861825062</v>
      </c>
      <c r="W477" s="118">
        <f t="shared" si="146"/>
        <v>-13.132681497027312</v>
      </c>
      <c r="X477" s="118">
        <f>IF(OR(N477="",R477=""),NA(),10*LOG10((G477+'CMOS FOM coeff. calculation'!$Q$3)^'CMOS FOM coeff. calculation'!$P$3*(1000*E477)^'CMOS FOM coeff. calculation'!$N$3*R477^'CMOS FOM coeff. calculation'!$O$3*N477^'CMOS FOM coeff. calculation'!$M$3))</f>
        <v>20.402485288182632</v>
      </c>
      <c r="Y477" s="68"/>
      <c r="Z477" t="s">
        <v>2124</v>
      </c>
      <c r="AA477" s="3" t="s">
        <v>5</v>
      </c>
    </row>
    <row r="478" spans="1:27">
      <c r="A478" t="s">
        <v>1202</v>
      </c>
      <c r="B478" s="8" t="s">
        <v>1201</v>
      </c>
      <c r="C478" t="s">
        <v>274</v>
      </c>
      <c r="D478" s="7" t="s">
        <v>1200</v>
      </c>
      <c r="E478" s="1">
        <v>6.5000000000000002E-2</v>
      </c>
      <c r="F478" s="1">
        <v>1.5</v>
      </c>
      <c r="G478" s="1">
        <v>23.45</v>
      </c>
      <c r="H478" s="1">
        <v>-10</v>
      </c>
      <c r="I478" s="1">
        <v>2.8</v>
      </c>
      <c r="K478" s="1">
        <v>-5</v>
      </c>
      <c r="L478" s="1">
        <v>14.3</v>
      </c>
      <c r="M478" s="1">
        <v>1.2</v>
      </c>
      <c r="N478" s="1">
        <v>6.96</v>
      </c>
      <c r="P478" s="1">
        <v>0.22</v>
      </c>
      <c r="Q478" s="118">
        <f t="shared" si="140"/>
        <v>0.94039988669797592</v>
      </c>
      <c r="R478" s="119">
        <f t="shared" si="141"/>
        <v>272.71596714241304</v>
      </c>
      <c r="S478" s="118" t="str">
        <f t="shared" si="142"/>
        <v/>
      </c>
      <c r="T478" s="118">
        <f t="shared" si="143"/>
        <v>9.2353594110686252</v>
      </c>
      <c r="U478" s="118">
        <f t="shared" si="144"/>
        <v>-8.648388547549688</v>
      </c>
      <c r="V478" s="118" t="e">
        <f t="shared" si="145"/>
        <v>#N/A</v>
      </c>
      <c r="W478" s="118" t="e">
        <f t="shared" si="146"/>
        <v>#N/A</v>
      </c>
      <c r="X478" s="118">
        <f>IF(OR(N478="",R478=""),NA(),10*LOG10((G478+'CMOS FOM coeff. calculation'!$Q$3)^'CMOS FOM coeff. calculation'!$P$3*(1000*E478)^'CMOS FOM coeff. calculation'!$N$3*R478^'CMOS FOM coeff. calculation'!$O$3*N478^'CMOS FOM coeff. calculation'!$M$3))</f>
        <v>20.599079533771693</v>
      </c>
      <c r="Y478" s="68"/>
      <c r="Z478" t="s">
        <v>2125</v>
      </c>
      <c r="AA478" s="3" t="s">
        <v>5</v>
      </c>
    </row>
    <row r="479" spans="1:27">
      <c r="A479" t="s">
        <v>1202</v>
      </c>
      <c r="B479" s="8" t="s">
        <v>1205</v>
      </c>
      <c r="C479" t="s">
        <v>1206</v>
      </c>
      <c r="D479" s="7" t="s">
        <v>1204</v>
      </c>
      <c r="E479" s="1">
        <v>0.09</v>
      </c>
      <c r="F479" s="1">
        <v>8.5</v>
      </c>
      <c r="G479" s="1">
        <v>36.75</v>
      </c>
      <c r="H479" s="1">
        <v>-10</v>
      </c>
      <c r="I479" s="1">
        <v>4.5999999999999996</v>
      </c>
      <c r="J479" s="1">
        <v>-18</v>
      </c>
      <c r="L479" s="1">
        <v>20.3</v>
      </c>
      <c r="N479" s="1">
        <v>15</v>
      </c>
      <c r="P479" s="1">
        <v>0.2112</v>
      </c>
      <c r="Q479" s="118">
        <f t="shared" si="140"/>
        <v>1.9017799462668359</v>
      </c>
      <c r="R479" s="119">
        <f t="shared" si="141"/>
        <v>551.51618441738242</v>
      </c>
      <c r="S479" s="118">
        <f t="shared" si="142"/>
        <v>1.6823947205371339</v>
      </c>
      <c r="T479" s="118">
        <f t="shared" si="143"/>
        <v>10.220291083929084</v>
      </c>
      <c r="U479" s="118">
        <f t="shared" si="144"/>
        <v>-7.1222279982147754</v>
      </c>
      <c r="V479" s="118">
        <f t="shared" si="145"/>
        <v>-15.119168467525217</v>
      </c>
      <c r="W479" s="118">
        <f t="shared" si="146"/>
        <v>-12.021105381810909</v>
      </c>
      <c r="X479" s="118">
        <f>IF(OR(N479="",R479=""),NA(),10*LOG10((G479+'CMOS FOM coeff. calculation'!$Q$3)^'CMOS FOM coeff. calculation'!$P$3*(1000*E479)^'CMOS FOM coeff. calculation'!$N$3*R479^'CMOS FOM coeff. calculation'!$O$3*N479^'CMOS FOM coeff. calculation'!$M$3))</f>
        <v>20.7963744615599</v>
      </c>
      <c r="Y479" s="68"/>
      <c r="Z479" t="s">
        <v>2126</v>
      </c>
      <c r="AA479" s="3" t="s">
        <v>5</v>
      </c>
    </row>
    <row r="480" spans="1:27">
      <c r="A480" t="s">
        <v>1213</v>
      </c>
      <c r="B480" s="8" t="s">
        <v>1215</v>
      </c>
      <c r="C480" t="s">
        <v>1216</v>
      </c>
      <c r="D480" s="7" t="s">
        <v>1214</v>
      </c>
      <c r="E480" s="1">
        <v>0.09</v>
      </c>
      <c r="F480" s="1">
        <v>15</v>
      </c>
      <c r="G480" s="1">
        <v>36.5</v>
      </c>
      <c r="H480" s="1">
        <v>-10</v>
      </c>
      <c r="I480" s="1">
        <v>3.8</v>
      </c>
      <c r="J480" s="1">
        <v>-10</v>
      </c>
      <c r="L480" s="1">
        <v>13.8</v>
      </c>
      <c r="M480" s="1">
        <v>1.2</v>
      </c>
      <c r="N480" s="1">
        <v>18</v>
      </c>
      <c r="P480" s="1">
        <v>0.48359999999999997</v>
      </c>
      <c r="Q480" s="118">
        <f t="shared" si="140"/>
        <v>1.459682618336313</v>
      </c>
      <c r="R480" s="119">
        <f t="shared" si="141"/>
        <v>423.30795931753079</v>
      </c>
      <c r="S480" s="118">
        <f t="shared" si="142"/>
        <v>2.298832919019492</v>
      </c>
      <c r="T480" s="118">
        <f t="shared" si="143"/>
        <v>9.3549734935627313</v>
      </c>
      <c r="U480" s="118">
        <f t="shared" si="144"/>
        <v>-5.4346692967104602</v>
      </c>
      <c r="V480" s="118">
        <f t="shared" si="145"/>
        <v>-14.055975065051229</v>
      </c>
      <c r="W480" s="118">
        <f t="shared" si="146"/>
        <v>-10.135670868198957</v>
      </c>
      <c r="X480" s="118">
        <f>IF(OR(N480="",R480=""),NA(),10*LOG10((G480+'CMOS FOM coeff. calculation'!$Q$3)^'CMOS FOM coeff. calculation'!$P$3*(1000*E480)^'CMOS FOM coeff. calculation'!$N$3*R480^'CMOS FOM coeff. calculation'!$O$3*N480^'CMOS FOM coeff. calculation'!$M$3))</f>
        <v>21.629403832537491</v>
      </c>
      <c r="Y480" s="68"/>
      <c r="Z480" t="s">
        <v>2127</v>
      </c>
      <c r="AA480" s="3" t="s">
        <v>5</v>
      </c>
    </row>
    <row r="481" spans="1:27">
      <c r="A481" t="s">
        <v>1213</v>
      </c>
      <c r="B481" s="8" t="s">
        <v>1218</v>
      </c>
      <c r="C481" t="s">
        <v>1219</v>
      </c>
      <c r="D481" s="7" t="s">
        <v>1217</v>
      </c>
      <c r="E481" s="1">
        <v>0.09</v>
      </c>
      <c r="F481" s="1">
        <v>3.1</v>
      </c>
      <c r="G481" s="1">
        <v>39.65</v>
      </c>
      <c r="H481" s="1">
        <v>-8</v>
      </c>
      <c r="I481" s="1">
        <v>5.4</v>
      </c>
      <c r="J481" s="1">
        <v>-30.7</v>
      </c>
      <c r="L481" s="1">
        <v>11.25</v>
      </c>
      <c r="M481" s="1">
        <v>1</v>
      </c>
      <c r="N481" s="1">
        <v>0.92</v>
      </c>
      <c r="O481" s="1">
        <v>0.19</v>
      </c>
      <c r="Q481" s="118">
        <f t="shared" si="140"/>
        <v>2.6673949037584537</v>
      </c>
      <c r="R481" s="119">
        <f t="shared" si="141"/>
        <v>773.54452208995156</v>
      </c>
      <c r="S481" s="118">
        <f t="shared" si="142"/>
        <v>1.0498970118520778E-2</v>
      </c>
      <c r="T481" s="118">
        <f t="shared" si="143"/>
        <v>7.4286445251435298</v>
      </c>
      <c r="U481" s="118">
        <f t="shared" si="144"/>
        <v>-5.7907722123626204</v>
      </c>
      <c r="V481" s="118">
        <f t="shared" si="145"/>
        <v>-15.745733954397465</v>
      </c>
      <c r="W481" s="118">
        <f t="shared" si="146"/>
        <v>-14.107861641616557</v>
      </c>
      <c r="X481" s="118">
        <f>IF(OR(N481="",R481=""),NA(),10*LOG10((G481+'CMOS FOM coeff. calculation'!$Q$3)^'CMOS FOM coeff. calculation'!$P$3*(1000*E481)^'CMOS FOM coeff. calculation'!$N$3*R481^'CMOS FOM coeff. calculation'!$O$3*N481^'CMOS FOM coeff. calculation'!$M$3))</f>
        <v>22.37946822918742</v>
      </c>
      <c r="Y481" s="68"/>
      <c r="Z481" t="s">
        <v>2128</v>
      </c>
      <c r="AA481" s="3" t="s">
        <v>5</v>
      </c>
    </row>
    <row r="482" spans="1:27">
      <c r="A482" t="s">
        <v>1213</v>
      </c>
      <c r="B482" s="8" t="s">
        <v>1221</v>
      </c>
      <c r="C482" t="s">
        <v>1222</v>
      </c>
      <c r="D482" s="7" t="s">
        <v>1220</v>
      </c>
      <c r="E482" s="1">
        <v>0.09</v>
      </c>
      <c r="G482" s="1">
        <v>60</v>
      </c>
      <c r="I482" s="1">
        <v>3.7</v>
      </c>
      <c r="J482" s="1">
        <v>-22</v>
      </c>
      <c r="K482" s="1">
        <v>-12</v>
      </c>
      <c r="L482" s="1">
        <v>22</v>
      </c>
      <c r="M482" s="1">
        <v>0.75</v>
      </c>
      <c r="Q482" s="118">
        <f t="shared" si="140"/>
        <v>1.3527641802688255</v>
      </c>
      <c r="R482" s="119">
        <f t="shared" si="141"/>
        <v>392.30161227795941</v>
      </c>
      <c r="S482" s="118">
        <f t="shared" si="142"/>
        <v>0.99369042655519813</v>
      </c>
      <c r="T482" s="118" t="e">
        <f t="shared" si="143"/>
        <v>#N/A</v>
      </c>
      <c r="U482" s="118" t="e">
        <f t="shared" si="144"/>
        <v>#N/A</v>
      </c>
      <c r="V482" s="118" t="e">
        <f t="shared" si="145"/>
        <v>#N/A</v>
      </c>
      <c r="W482" s="118" t="e">
        <f t="shared" si="146"/>
        <v>#N/A</v>
      </c>
      <c r="X482" s="118" t="e">
        <f>IF(OR(N482="",R482=""),NA(),10*LOG10((G482+'CMOS FOM coeff. calculation'!$Q$3)^'CMOS FOM coeff. calculation'!$P$3*(1000*E482)^'CMOS FOM coeff. calculation'!$N$3*R482^'CMOS FOM coeff. calculation'!$O$3*N482^'CMOS FOM coeff. calculation'!$M$3))</f>
        <v>#N/A</v>
      </c>
      <c r="Y482" s="68"/>
      <c r="Z482" t="s">
        <v>2129</v>
      </c>
      <c r="AA482" s="3" t="s">
        <v>5</v>
      </c>
    </row>
    <row r="483" spans="1:27">
      <c r="A483" t="s">
        <v>1213</v>
      </c>
      <c r="B483" s="8" t="s">
        <v>1230</v>
      </c>
      <c r="C483" t="s">
        <v>1231</v>
      </c>
      <c r="D483" s="7" t="s">
        <v>1229</v>
      </c>
      <c r="E483" s="1">
        <v>6.5000000000000002E-2</v>
      </c>
      <c r="F483" s="1">
        <v>45</v>
      </c>
      <c r="G483" s="1">
        <v>98</v>
      </c>
      <c r="H483" s="1">
        <v>-5</v>
      </c>
      <c r="I483" s="1">
        <v>6</v>
      </c>
      <c r="J483" s="1">
        <v>-29.3</v>
      </c>
      <c r="L483" s="1">
        <v>25.3</v>
      </c>
      <c r="M483" s="1">
        <v>2</v>
      </c>
      <c r="N483" s="1">
        <v>48</v>
      </c>
      <c r="P483" s="1">
        <v>0.2475</v>
      </c>
      <c r="Q483" s="118">
        <f t="shared" si="140"/>
        <v>2.9898955127589955</v>
      </c>
      <c r="R483" s="119">
        <f t="shared" si="141"/>
        <v>867.06969870010869</v>
      </c>
      <c r="S483" s="118">
        <f t="shared" si="142"/>
        <v>0.39693227299855743</v>
      </c>
      <c r="T483" s="118">
        <f t="shared" si="143"/>
        <v>12.913678978660164</v>
      </c>
      <c r="U483" s="118">
        <f t="shared" si="144"/>
        <v>-7.4029705994090182</v>
      </c>
      <c r="V483" s="118">
        <f t="shared" si="145"/>
        <v>-22.535893173979204</v>
      </c>
      <c r="W483" s="118">
        <f t="shared" si="146"/>
        <v>-17.025184794728059</v>
      </c>
      <c r="X483" s="118">
        <f>IF(OR(N483="",R483=""),NA(),10*LOG10((G483+'CMOS FOM coeff. calculation'!$Q$3)^'CMOS FOM coeff. calculation'!$P$3*(1000*E483)^'CMOS FOM coeff. calculation'!$N$3*R483^'CMOS FOM coeff. calculation'!$O$3*N483^'CMOS FOM coeff. calculation'!$M$3))</f>
        <v>23.885282076524437</v>
      </c>
      <c r="Y483" s="68"/>
      <c r="Z483" t="s">
        <v>2130</v>
      </c>
      <c r="AA483" s="3" t="s">
        <v>5</v>
      </c>
    </row>
    <row r="484" spans="1:27">
      <c r="A484" t="s">
        <v>1213</v>
      </c>
      <c r="B484" s="8" t="s">
        <v>1233</v>
      </c>
      <c r="C484" t="s">
        <v>1234</v>
      </c>
      <c r="D484" s="7" t="s">
        <v>1232</v>
      </c>
      <c r="E484" s="1">
        <v>6.5000000000000002E-2</v>
      </c>
      <c r="F484" s="1">
        <v>6.6</v>
      </c>
      <c r="G484" s="1">
        <v>58</v>
      </c>
      <c r="H484" s="1">
        <v>-10</v>
      </c>
      <c r="I484" s="1">
        <v>5.3</v>
      </c>
      <c r="L484" s="1">
        <v>17.5</v>
      </c>
      <c r="M484" s="1">
        <v>1.5</v>
      </c>
      <c r="N484" s="1">
        <v>18</v>
      </c>
      <c r="P484" s="1">
        <v>0.51</v>
      </c>
      <c r="Q484" s="118">
        <f t="shared" ref="Q484:Q579" si="147">IF(OR(I484="",L484=""),"",(10^(I484/10)-1)*10^(L484/10)/(10^(L484/10)-1))</f>
        <v>2.4316836918005911</v>
      </c>
      <c r="R484" s="119">
        <f t="shared" ref="R484:R579" si="148">IF(Q484="","",290*Q484)</f>
        <v>705.18827062217144</v>
      </c>
      <c r="S484" s="118" t="str">
        <f t="shared" ref="S484:S579" si="149">IF(OR(J484="",L484=""),"",10^(J484/10)*(10^(L484/10)-1))</f>
        <v/>
      </c>
      <c r="T484" s="118">
        <f t="shared" ref="T484:T579" si="150">IF(OR(Q484="",N484="",E484="",G484=""),NA(),10*LOG10(Q484*N484^(1/3)*E484^(-4/3)*G484^(-2/3)))</f>
        <v>12.114947793151238</v>
      </c>
      <c r="U484" s="118">
        <f t="shared" ref="U484:U579" si="151">IF(OR(ISNA(T484),F484=""),NA(),10*LOG10(F484^(1/3))-T484)</f>
        <v>-9.3831346746783435</v>
      </c>
      <c r="V484" s="118" t="e">
        <f t="shared" ref="V484:V579" si="152">IF(OR(ISNA(T484),S484=""),NA(),10*LOG10(S484^(1/3)*E484*G484^(1/3)/Q484/N484^(2/3)))</f>
        <v>#N/A</v>
      </c>
      <c r="W484" s="118" t="e">
        <f t="shared" ref="W484:W579" si="153">IF(OR(ISNA(V484),F484=""),NA(),V484+10*LOG10(F484^(1/3)))</f>
        <v>#N/A</v>
      </c>
      <c r="X484" s="118">
        <f>IF(OR(N484="",R484=""),NA(),10*LOG10((G484+'CMOS FOM coeff. calculation'!$Q$3)^'CMOS FOM coeff. calculation'!$P$3*(1000*E484)^'CMOS FOM coeff. calculation'!$N$3*R484^'CMOS FOM coeff. calculation'!$O$3*N484^'CMOS FOM coeff. calculation'!$M$3))</f>
        <v>21.71584671697747</v>
      </c>
      <c r="Y484" s="68"/>
      <c r="Z484" t="s">
        <v>2131</v>
      </c>
      <c r="AA484" s="3" t="s">
        <v>5</v>
      </c>
    </row>
    <row r="485" spans="1:27">
      <c r="A485" t="s">
        <v>1213</v>
      </c>
      <c r="B485" s="8" t="s">
        <v>1239</v>
      </c>
      <c r="C485" t="s">
        <v>1240</v>
      </c>
      <c r="D485" s="7" t="s">
        <v>1238</v>
      </c>
      <c r="E485" s="1">
        <v>0.13</v>
      </c>
      <c r="F485" s="1">
        <v>14</v>
      </c>
      <c r="G485" s="1">
        <v>27</v>
      </c>
      <c r="H485" s="1">
        <v>-10</v>
      </c>
      <c r="I485" s="1">
        <v>5.5</v>
      </c>
      <c r="J485" s="1">
        <v>-15</v>
      </c>
      <c r="L485" s="1">
        <v>15.5</v>
      </c>
      <c r="M485" s="1">
        <v>1.2</v>
      </c>
      <c r="N485" s="1">
        <v>46.3</v>
      </c>
      <c r="O485" s="1">
        <v>0.45600000000000002</v>
      </c>
      <c r="Q485" s="118">
        <f t="shared" si="147"/>
        <v>2.6220328177226015</v>
      </c>
      <c r="R485" s="119">
        <f t="shared" si="148"/>
        <v>760.38951713955441</v>
      </c>
      <c r="S485" s="118">
        <f t="shared" si="149"/>
        <v>1.0903956777002797</v>
      </c>
      <c r="T485" s="118">
        <f t="shared" si="150"/>
        <v>12.009981409016323</v>
      </c>
      <c r="U485" s="118">
        <f t="shared" si="151"/>
        <v>-8.1895546234221968</v>
      </c>
      <c r="V485" s="118">
        <f t="shared" si="152"/>
        <v>-19.254328029635076</v>
      </c>
      <c r="W485" s="118">
        <f t="shared" si="153"/>
        <v>-15.43390124404095</v>
      </c>
      <c r="X485" s="118">
        <f>IF(OR(N485="",R485=""),NA(),10*LOG10((G485+'CMOS FOM coeff. calculation'!$Q$3)^'CMOS FOM coeff. calculation'!$P$3*(1000*E485)^'CMOS FOM coeff. calculation'!$N$3*R485^'CMOS FOM coeff. calculation'!$O$3*N485^'CMOS FOM coeff. calculation'!$M$3))</f>
        <v>17.83506071598724</v>
      </c>
      <c r="Y485" s="68"/>
      <c r="Z485" t="s">
        <v>2132</v>
      </c>
      <c r="AA485" s="3" t="s">
        <v>5</v>
      </c>
    </row>
    <row r="486" spans="1:27">
      <c r="A486" t="s">
        <v>1246</v>
      </c>
      <c r="B486" s="8" t="s">
        <v>1249</v>
      </c>
      <c r="C486" t="s">
        <v>1250</v>
      </c>
      <c r="D486" s="7" t="s">
        <v>1248</v>
      </c>
      <c r="E486" s="1">
        <v>0.18</v>
      </c>
      <c r="F486" s="1">
        <v>0.45</v>
      </c>
      <c r="G486" s="1">
        <v>4.7750000000000004</v>
      </c>
      <c r="H486" s="1">
        <v>-10</v>
      </c>
      <c r="I486" s="1">
        <v>4.8</v>
      </c>
      <c r="J486" s="1">
        <v>-32</v>
      </c>
      <c r="K486" s="1">
        <v>-22</v>
      </c>
      <c r="L486" s="1">
        <v>10</v>
      </c>
      <c r="M486" s="1">
        <v>0.6</v>
      </c>
      <c r="N486" s="1">
        <v>0.33600000000000002</v>
      </c>
      <c r="O486" s="1">
        <v>0.49</v>
      </c>
      <c r="P486" s="1">
        <v>0.61</v>
      </c>
      <c r="Q486" s="118">
        <f t="shared" si="147"/>
        <v>2.244390800446685</v>
      </c>
      <c r="R486" s="119">
        <f t="shared" si="148"/>
        <v>650.87333212953865</v>
      </c>
      <c r="S486" s="118">
        <f t="shared" si="149"/>
        <v>5.6786161003217319E-3</v>
      </c>
      <c r="T486" s="118">
        <f t="shared" si="150"/>
        <v>7.335326482806023</v>
      </c>
      <c r="U486" s="118">
        <f t="shared" si="151"/>
        <v>-8.4912847702215437</v>
      </c>
      <c r="V486" s="118">
        <f t="shared" si="152"/>
        <v>-13.023135312717995</v>
      </c>
      <c r="W486" s="118">
        <f t="shared" si="153"/>
        <v>-14.179093600133516</v>
      </c>
      <c r="X486" s="118">
        <f>IF(OR(N486="",R486=""),NA(),10*LOG10((G486+'CMOS FOM coeff. calculation'!$Q$3)^'CMOS FOM coeff. calculation'!$P$3*(1000*E486)^'CMOS FOM coeff. calculation'!$N$3*R486^'CMOS FOM coeff. calculation'!$O$3*N486^'CMOS FOM coeff. calculation'!$M$3))</f>
        <v>16.976396372089056</v>
      </c>
      <c r="Y486" s="68"/>
      <c r="Z486" t="s">
        <v>2133</v>
      </c>
      <c r="AA486" s="3" t="s">
        <v>5</v>
      </c>
    </row>
    <row r="487" spans="1:27">
      <c r="A487" t="s">
        <v>1246</v>
      </c>
      <c r="B487" s="8" t="s">
        <v>1259</v>
      </c>
      <c r="C487" t="s">
        <v>1260</v>
      </c>
      <c r="D487" s="7" t="s">
        <v>1258</v>
      </c>
      <c r="E487" s="1">
        <v>6.5000000000000002E-2</v>
      </c>
      <c r="F487" s="1">
        <v>9</v>
      </c>
      <c r="G487" s="1">
        <v>61.5</v>
      </c>
      <c r="H487" s="1">
        <v>-10</v>
      </c>
      <c r="I487" s="1">
        <v>4.5</v>
      </c>
      <c r="J487" s="1">
        <v>-22</v>
      </c>
      <c r="K487" s="1">
        <v>0</v>
      </c>
      <c r="L487" s="1">
        <v>24</v>
      </c>
      <c r="M487" s="1">
        <v>1</v>
      </c>
      <c r="N487" s="1">
        <v>38</v>
      </c>
      <c r="P487" s="1">
        <v>0.26</v>
      </c>
      <c r="Q487" s="118">
        <f t="shared" si="147"/>
        <v>1.8256509787200186</v>
      </c>
      <c r="R487" s="119">
        <f t="shared" si="148"/>
        <v>529.43878382880541</v>
      </c>
      <c r="S487" s="118">
        <f t="shared" si="149"/>
        <v>1.5785836190163101</v>
      </c>
      <c r="T487" s="118">
        <f t="shared" si="150"/>
        <v>11.782110671337932</v>
      </c>
      <c r="U487" s="118">
        <f t="shared" si="151"/>
        <v>-8.6013023065401821</v>
      </c>
      <c r="V487" s="118">
        <f t="shared" si="152"/>
        <v>-18.3931255954116</v>
      </c>
      <c r="W487" s="118">
        <f t="shared" si="153"/>
        <v>-15.21231723061385</v>
      </c>
      <c r="X487" s="118">
        <f>IF(OR(N487="",R487=""),NA(),10*LOG10((G487+'CMOS FOM coeff. calculation'!$Q$3)^'CMOS FOM coeff. calculation'!$P$3*(1000*E487)^'CMOS FOM coeff. calculation'!$N$3*R487^'CMOS FOM coeff. calculation'!$O$3*N487^'CMOS FOM coeff. calculation'!$M$3))</f>
        <v>22.59840212345674</v>
      </c>
      <c r="Y487" s="68"/>
      <c r="Z487" t="s">
        <v>2134</v>
      </c>
      <c r="AA487" s="3" t="s">
        <v>5</v>
      </c>
    </row>
    <row r="488" spans="1:27">
      <c r="A488" t="s">
        <v>1246</v>
      </c>
      <c r="B488" s="8" t="s">
        <v>1265</v>
      </c>
      <c r="C488" t="s">
        <v>1266</v>
      </c>
      <c r="D488" s="7" t="s">
        <v>1264</v>
      </c>
      <c r="E488" s="1">
        <v>0.18</v>
      </c>
      <c r="F488" s="1">
        <v>5</v>
      </c>
      <c r="G488" s="1">
        <v>2.5</v>
      </c>
      <c r="H488" s="1">
        <v>-6</v>
      </c>
      <c r="I488" s="1">
        <v>2.76</v>
      </c>
      <c r="J488" s="1">
        <v>-22.5</v>
      </c>
      <c r="K488" s="1">
        <v>-14</v>
      </c>
      <c r="L488" s="1">
        <v>13.9</v>
      </c>
      <c r="N488" s="1">
        <v>10.4</v>
      </c>
      <c r="P488" s="1">
        <v>0.45</v>
      </c>
      <c r="Q488" s="118">
        <f t="shared" si="147"/>
        <v>0.92570264934157065</v>
      </c>
      <c r="R488" s="119">
        <f t="shared" si="148"/>
        <v>268.45376830905548</v>
      </c>
      <c r="S488" s="118">
        <f t="shared" si="149"/>
        <v>0.13241501320838497</v>
      </c>
      <c r="T488" s="118">
        <f t="shared" si="150"/>
        <v>10.331592738532569</v>
      </c>
      <c r="U488" s="118">
        <f t="shared" si="151"/>
        <v>-8.0016927240791738</v>
      </c>
      <c r="V488" s="118">
        <f t="shared" si="152"/>
        <v>-15.492621488164257</v>
      </c>
      <c r="W488" s="118">
        <f t="shared" si="153"/>
        <v>-13.162721473710862</v>
      </c>
      <c r="X488" s="118">
        <f>IF(OR(N488="",R488=""),NA(),10*LOG10((G488+'CMOS FOM coeff. calculation'!$Q$3)^'CMOS FOM coeff. calculation'!$P$3*(1000*E488)^'CMOS FOM coeff. calculation'!$N$3*R488^'CMOS FOM coeff. calculation'!$O$3*N488^'CMOS FOM coeff. calculation'!$M$3))</f>
        <v>16.347344738931767</v>
      </c>
      <c r="Y488" s="68"/>
      <c r="Z488" t="s">
        <v>2135</v>
      </c>
      <c r="AA488" s="3" t="s">
        <v>5</v>
      </c>
    </row>
    <row r="489" spans="1:27">
      <c r="A489" t="s">
        <v>1304</v>
      </c>
      <c r="B489" s="8" t="s">
        <v>1313</v>
      </c>
      <c r="C489" t="s">
        <v>1314</v>
      </c>
      <c r="D489" s="7" t="s">
        <v>1312</v>
      </c>
      <c r="E489" s="1">
        <v>0.13</v>
      </c>
      <c r="F489" s="1">
        <v>2</v>
      </c>
      <c r="G489" s="1">
        <v>5</v>
      </c>
      <c r="H489" s="1">
        <v>-13.1</v>
      </c>
      <c r="I489" s="1">
        <v>1.34</v>
      </c>
      <c r="J489" s="1">
        <v>-2</v>
      </c>
      <c r="K489" s="1">
        <v>12.7</v>
      </c>
      <c r="L489" s="1">
        <v>10.199999999999999</v>
      </c>
      <c r="M489" s="1">
        <v>1.2</v>
      </c>
      <c r="N489" s="1">
        <v>9.6</v>
      </c>
      <c r="P489" s="1">
        <v>0.85</v>
      </c>
      <c r="Q489" s="118">
        <f t="shared" si="147"/>
        <v>0.3996068393568778</v>
      </c>
      <c r="R489" s="119">
        <f t="shared" si="148"/>
        <v>115.88598341349456</v>
      </c>
      <c r="S489" s="118">
        <f t="shared" si="149"/>
        <v>5.9759771355957696</v>
      </c>
      <c r="T489" s="118">
        <f t="shared" si="150"/>
        <v>6.4448551770761222</v>
      </c>
      <c r="U489" s="118">
        <f t="shared" si="151"/>
        <v>-5.4414218581961844</v>
      </c>
      <c r="V489" s="118">
        <f t="shared" si="152"/>
        <v>-6.5074407187612371</v>
      </c>
      <c r="W489" s="118">
        <f t="shared" si="153"/>
        <v>-5.5040073998812993</v>
      </c>
      <c r="X489" s="118">
        <f>IF(OR(N489="",R489=""),NA(),10*LOG10((G489+'CMOS FOM coeff. calculation'!$Q$3)^'CMOS FOM coeff. calculation'!$P$3*(1000*E489)^'CMOS FOM coeff. calculation'!$N$3*R489^'CMOS FOM coeff. calculation'!$O$3*N489^'CMOS FOM coeff. calculation'!$M$3))</f>
        <v>19.922807379101148</v>
      </c>
      <c r="Y489" s="68"/>
      <c r="Z489" t="s">
        <v>2136</v>
      </c>
      <c r="AA489" s="3" t="s">
        <v>5</v>
      </c>
    </row>
    <row r="490" spans="1:27">
      <c r="A490" t="s">
        <v>1304</v>
      </c>
      <c r="B490" s="8" t="s">
        <v>2053</v>
      </c>
      <c r="C490" t="s">
        <v>2054</v>
      </c>
      <c r="D490" s="7" t="s">
        <v>2055</v>
      </c>
      <c r="E490" s="1">
        <v>1.6E-2</v>
      </c>
      <c r="F490" s="1">
        <v>0.5</v>
      </c>
      <c r="G490" s="1">
        <v>2.65</v>
      </c>
      <c r="H490" s="1">
        <v>-10</v>
      </c>
      <c r="I490" s="1">
        <v>3</v>
      </c>
      <c r="J490" s="1">
        <v>-25</v>
      </c>
      <c r="K490" s="1">
        <v>-17</v>
      </c>
      <c r="L490" s="1">
        <v>6.9</v>
      </c>
      <c r="M490" s="1">
        <v>0.1</v>
      </c>
      <c r="N490" s="1">
        <v>4.3999999999999997E-2</v>
      </c>
      <c r="P490" s="1">
        <v>0.25</v>
      </c>
      <c r="Q490" s="118">
        <f t="shared" si="147"/>
        <v>1.2506025914316927</v>
      </c>
      <c r="R490" s="119">
        <f t="shared" si="148"/>
        <v>362.67475151519091</v>
      </c>
      <c r="S490" s="118">
        <f t="shared" si="149"/>
        <v>1.2325888528956427E-2</v>
      </c>
      <c r="T490" s="118">
        <f t="shared" si="150"/>
        <v>17.572796569302991</v>
      </c>
      <c r="U490" s="118">
        <f t="shared" si="151"/>
        <v>-18.57622988818293</v>
      </c>
      <c r="V490" s="118">
        <f t="shared" si="152"/>
        <v>-14.839464226884864</v>
      </c>
      <c r="W490" s="118">
        <f t="shared" si="153"/>
        <v>-15.842897545764801</v>
      </c>
      <c r="X490" s="118">
        <f>IF(OR(N490="",R490=""),NA(),10*LOG10((G490+'CMOS FOM coeff. calculation'!$Q$3)^'CMOS FOM coeff. calculation'!$P$3*(1000*E490)^'CMOS FOM coeff. calculation'!$N$3*R490^'CMOS FOM coeff. calculation'!$O$3*N490^'CMOS FOM coeff. calculation'!$M$3))</f>
        <v>12.638276730269567</v>
      </c>
      <c r="Y490" s="68"/>
      <c r="Z490" t="s">
        <v>2137</v>
      </c>
      <c r="AA490" s="3" t="s">
        <v>5</v>
      </c>
    </row>
    <row r="491" spans="1:27">
      <c r="A491" t="s">
        <v>1315</v>
      </c>
      <c r="B491" s="8" t="s">
        <v>1332</v>
      </c>
      <c r="C491" t="s">
        <v>1333</v>
      </c>
      <c r="D491" s="7" t="s">
        <v>1331</v>
      </c>
      <c r="E491" s="1">
        <v>0.18</v>
      </c>
      <c r="F491" s="1">
        <v>7.5</v>
      </c>
      <c r="G491" s="1">
        <v>6.85</v>
      </c>
      <c r="H491" s="1">
        <v>-10</v>
      </c>
      <c r="I491" s="1">
        <v>3.21</v>
      </c>
      <c r="K491" s="1">
        <v>-2.2999999999999998</v>
      </c>
      <c r="L491" s="1">
        <v>12.61</v>
      </c>
      <c r="M491" s="1">
        <v>1</v>
      </c>
      <c r="N491" s="1">
        <v>5.2</v>
      </c>
      <c r="P491" s="1">
        <v>0.69</v>
      </c>
      <c r="Q491" s="118">
        <f t="shared" si="147"/>
        <v>1.157579894999252</v>
      </c>
      <c r="R491" s="119">
        <f t="shared" si="148"/>
        <v>335.69816954978307</v>
      </c>
      <c r="S491" s="118" t="str">
        <f t="shared" si="149"/>
        <v/>
      </c>
      <c r="T491" s="118">
        <f t="shared" si="150"/>
        <v>7.3806170203804484</v>
      </c>
      <c r="U491" s="118">
        <f t="shared" si="151"/>
        <v>-4.4637461424081151</v>
      </c>
      <c r="V491" s="118" t="e">
        <f t="shared" si="152"/>
        <v>#N/A</v>
      </c>
      <c r="W491" s="118" t="e">
        <f t="shared" si="153"/>
        <v>#N/A</v>
      </c>
      <c r="X491" s="118">
        <f>IF(OR(N491="",R491=""),NA(),10*LOG10((G491+'CMOS FOM coeff. calculation'!$Q$3)^'CMOS FOM coeff. calculation'!$P$3*(1000*E491)^'CMOS FOM coeff. calculation'!$N$3*R491^'CMOS FOM coeff. calculation'!$O$3*N491^'CMOS FOM coeff. calculation'!$M$3))</f>
        <v>18.086402093164445</v>
      </c>
      <c r="Y491" s="68"/>
      <c r="Z491" t="s">
        <v>2138</v>
      </c>
      <c r="AA491" s="3" t="s">
        <v>5</v>
      </c>
    </row>
    <row r="492" spans="1:27">
      <c r="A492" t="s">
        <v>1350</v>
      </c>
      <c r="B492" s="8" t="s">
        <v>1349</v>
      </c>
      <c r="C492" t="s">
        <v>1351</v>
      </c>
      <c r="D492" s="7" t="s">
        <v>1348</v>
      </c>
      <c r="E492" s="1">
        <v>0.09</v>
      </c>
      <c r="F492" s="1">
        <v>2.1800000000000002</v>
      </c>
      <c r="G492" s="1">
        <v>4.99</v>
      </c>
      <c r="H492" s="1">
        <v>-7</v>
      </c>
      <c r="I492" s="1">
        <v>3</v>
      </c>
      <c r="J492" s="1">
        <v>-25</v>
      </c>
      <c r="L492" s="1">
        <v>16.8</v>
      </c>
      <c r="M492" s="1">
        <v>0.28000000000000003</v>
      </c>
      <c r="N492" s="1">
        <v>0.74199999999999999</v>
      </c>
      <c r="P492" s="1">
        <v>0.62</v>
      </c>
      <c r="Q492" s="118">
        <f t="shared" si="147"/>
        <v>1.0165000103553654</v>
      </c>
      <c r="R492" s="119">
        <f t="shared" si="148"/>
        <v>294.78500300305598</v>
      </c>
      <c r="S492" s="118">
        <f t="shared" si="149"/>
        <v>0.14819384718345244</v>
      </c>
      <c r="T492" s="118">
        <f t="shared" si="150"/>
        <v>8.9285164615665078</v>
      </c>
      <c r="U492" s="118">
        <f t="shared" si="151"/>
        <v>-7.8003281495511576</v>
      </c>
      <c r="V492" s="118">
        <f t="shared" si="152"/>
        <v>-10.101572420461098</v>
      </c>
      <c r="W492" s="118">
        <f t="shared" si="153"/>
        <v>-8.9733841084457477</v>
      </c>
      <c r="X492" s="118">
        <f>IF(OR(N492="",R492=""),NA(),10*LOG10((G492+'CMOS FOM coeff. calculation'!$Q$3)^'CMOS FOM coeff. calculation'!$P$3*(1000*E492)^'CMOS FOM coeff. calculation'!$N$3*R492^'CMOS FOM coeff. calculation'!$O$3*N492^'CMOS FOM coeff. calculation'!$M$3))</f>
        <v>17.374840782551029</v>
      </c>
      <c r="Y492" s="68"/>
      <c r="Z492" t="s">
        <v>2139</v>
      </c>
      <c r="AA492" s="3" t="s">
        <v>5</v>
      </c>
    </row>
    <row r="493" spans="1:27">
      <c r="A493" t="s">
        <v>1350</v>
      </c>
      <c r="B493" s="8" t="s">
        <v>2050</v>
      </c>
      <c r="C493" t="s">
        <v>2051</v>
      </c>
      <c r="D493" s="7" t="s">
        <v>2052</v>
      </c>
      <c r="E493" s="1">
        <v>4.4999999999999998E-2</v>
      </c>
      <c r="F493" s="1">
        <v>7</v>
      </c>
      <c r="G493" s="1">
        <v>26.5</v>
      </c>
      <c r="H493" s="1">
        <v>-7</v>
      </c>
      <c r="I493" s="1">
        <v>1.3</v>
      </c>
      <c r="K493" s="1">
        <v>4</v>
      </c>
      <c r="L493" s="1">
        <v>14</v>
      </c>
      <c r="M493" s="1">
        <v>1.5</v>
      </c>
      <c r="N493" s="1">
        <v>15</v>
      </c>
      <c r="P493" s="1">
        <v>0.3</v>
      </c>
      <c r="Q493" s="118">
        <f t="shared" si="147"/>
        <v>0.36343134503800706</v>
      </c>
      <c r="R493" s="119">
        <f t="shared" si="148"/>
        <v>105.39509006102205</v>
      </c>
      <c r="S493" s="118" t="str">
        <f t="shared" si="149"/>
        <v/>
      </c>
      <c r="T493" s="118">
        <f t="shared" si="150"/>
        <v>7.9933886675266974</v>
      </c>
      <c r="U493" s="118">
        <f t="shared" si="151"/>
        <v>-5.1763952008125091</v>
      </c>
      <c r="V493" s="118" t="e">
        <f t="shared" si="152"/>
        <v>#N/A</v>
      </c>
      <c r="W493" s="118" t="e">
        <f t="shared" si="153"/>
        <v>#N/A</v>
      </c>
      <c r="X493" s="118">
        <f>IF(OR(N493="",R493=""),NA(),10*LOG10((G493+'CMOS FOM coeff. calculation'!$Q$3)^'CMOS FOM coeff. calculation'!$P$3*(1000*E493)^'CMOS FOM coeff. calculation'!$N$3*R493^'CMOS FOM coeff. calculation'!$O$3*N493^'CMOS FOM coeff. calculation'!$M$3))</f>
        <v>23.206809849197878</v>
      </c>
      <c r="Y493" s="68"/>
      <c r="Z493" t="s">
        <v>2140</v>
      </c>
      <c r="AA493" s="3" t="s">
        <v>5</v>
      </c>
    </row>
    <row r="494" spans="1:27">
      <c r="A494" t="s">
        <v>1358</v>
      </c>
      <c r="B494" s="8" t="s">
        <v>2056</v>
      </c>
      <c r="C494" t="s">
        <v>2057</v>
      </c>
      <c r="D494" s="7" t="s">
        <v>2058</v>
      </c>
      <c r="E494" s="1">
        <v>4.4999999999999998E-2</v>
      </c>
      <c r="F494" s="1">
        <v>5.2</v>
      </c>
      <c r="G494" s="1">
        <v>19.399999999999999</v>
      </c>
      <c r="H494" s="1">
        <v>-10</v>
      </c>
      <c r="I494" s="1">
        <v>1.5</v>
      </c>
      <c r="J494" s="1">
        <v>-21.6</v>
      </c>
      <c r="K494" s="1">
        <v>-12</v>
      </c>
      <c r="L494" s="1">
        <v>23.1</v>
      </c>
      <c r="M494" s="1">
        <v>0.6</v>
      </c>
      <c r="N494" s="1">
        <v>12.5</v>
      </c>
      <c r="O494" s="1">
        <v>0.156</v>
      </c>
      <c r="P494" s="1">
        <v>0.70399999999999996</v>
      </c>
      <c r="Q494" s="118">
        <f t="shared" si="147"/>
        <v>0.41456801093217727</v>
      </c>
      <c r="R494" s="119">
        <f t="shared" si="148"/>
        <v>120.2247231703314</v>
      </c>
      <c r="S494" s="118">
        <f t="shared" si="149"/>
        <v>1.4056192349135654</v>
      </c>
      <c r="T494" s="118">
        <f t="shared" si="150"/>
        <v>9.204146205228442</v>
      </c>
      <c r="U494" s="118">
        <f t="shared" si="151"/>
        <v>-6.8174683931124447</v>
      </c>
      <c r="V494" s="118">
        <f t="shared" si="152"/>
        <v>-12.171001422462711</v>
      </c>
      <c r="W494" s="118">
        <f t="shared" si="153"/>
        <v>-9.7843236103467142</v>
      </c>
      <c r="X494" s="118">
        <f>IF(OR(N494="",R494=""),NA(),10*LOG10((G494+'CMOS FOM coeff. calculation'!$Q$3)^'CMOS FOM coeff. calculation'!$P$3*(1000*E494)^'CMOS FOM coeff. calculation'!$N$3*R494^'CMOS FOM coeff. calculation'!$O$3*N494^'CMOS FOM coeff. calculation'!$M$3))</f>
        <v>21.185509046550656</v>
      </c>
      <c r="Y494" s="68"/>
      <c r="Z494" t="s">
        <v>2141</v>
      </c>
      <c r="AA494" s="3" t="s">
        <v>5</v>
      </c>
    </row>
    <row r="495" spans="1:27">
      <c r="A495" t="s">
        <v>1358</v>
      </c>
      <c r="B495" s="8" t="s">
        <v>1360</v>
      </c>
      <c r="C495" t="s">
        <v>1361</v>
      </c>
      <c r="D495" s="7" t="s">
        <v>1359</v>
      </c>
      <c r="E495" s="1">
        <v>6.5000000000000002E-2</v>
      </c>
      <c r="F495" s="1">
        <v>2.7</v>
      </c>
      <c r="G495" s="1">
        <v>24</v>
      </c>
      <c r="H495" s="1">
        <v>-10</v>
      </c>
      <c r="I495" s="1">
        <v>3.7</v>
      </c>
      <c r="K495" s="1">
        <v>-4.3</v>
      </c>
      <c r="L495" s="1">
        <v>21.3</v>
      </c>
      <c r="M495" s="1">
        <v>1.2</v>
      </c>
      <c r="N495" s="1">
        <v>18.5</v>
      </c>
      <c r="O495" s="1">
        <v>0.13</v>
      </c>
      <c r="P495" s="1">
        <v>0.19</v>
      </c>
      <c r="Q495" s="118">
        <f t="shared" si="147"/>
        <v>1.3542681437643229</v>
      </c>
      <c r="R495" s="119">
        <f t="shared" si="148"/>
        <v>392.73776169165365</v>
      </c>
      <c r="S495" s="118" t="str">
        <f t="shared" si="149"/>
        <v/>
      </c>
      <c r="T495" s="118">
        <f t="shared" si="150"/>
        <v>12.167366022141657</v>
      </c>
      <c r="U495" s="118">
        <f t="shared" si="151"/>
        <v>-10.729486808278367</v>
      </c>
      <c r="V495" s="118" t="e">
        <f t="shared" si="152"/>
        <v>#N/A</v>
      </c>
      <c r="W495" s="118" t="e">
        <f t="shared" si="153"/>
        <v>#N/A</v>
      </c>
      <c r="X495" s="118">
        <f>IF(OR(N495="",R495=""),NA(),10*LOG10((G495+'CMOS FOM coeff. calculation'!$Q$3)^'CMOS FOM coeff. calculation'!$P$3*(1000*E495)^'CMOS FOM coeff. calculation'!$N$3*R495^'CMOS FOM coeff. calculation'!$O$3*N495^'CMOS FOM coeff. calculation'!$M$3))</f>
        <v>18.450393352135176</v>
      </c>
      <c r="Y495" s="68"/>
      <c r="Z495" t="s">
        <v>2142</v>
      </c>
      <c r="AA495" s="3" t="s">
        <v>1100</v>
      </c>
    </row>
    <row r="496" spans="1:27">
      <c r="E496" s="1">
        <v>6.5000000000000002E-2</v>
      </c>
      <c r="F496" s="1">
        <v>3</v>
      </c>
      <c r="G496" s="1">
        <v>24</v>
      </c>
      <c r="H496" s="1">
        <v>-10</v>
      </c>
      <c r="I496" s="1">
        <v>3.4</v>
      </c>
      <c r="K496" s="1">
        <v>-7</v>
      </c>
      <c r="L496" s="1">
        <v>23.5</v>
      </c>
      <c r="M496" s="1">
        <v>1.2</v>
      </c>
      <c r="N496" s="1">
        <v>12</v>
      </c>
      <c r="O496" s="1">
        <v>9.6000000000000002E-2</v>
      </c>
      <c r="P496" s="1">
        <v>0.15</v>
      </c>
      <c r="Q496" s="118">
        <f t="shared" si="147"/>
        <v>1.1930909655320197</v>
      </c>
      <c r="R496" s="119">
        <f t="shared" si="148"/>
        <v>345.9963800042857</v>
      </c>
      <c r="S496" s="118" t="str">
        <f t="shared" si="149"/>
        <v/>
      </c>
      <c r="T496" s="118">
        <f t="shared" si="150"/>
        <v>10.990420024517897</v>
      </c>
      <c r="U496" s="118">
        <f t="shared" si="151"/>
        <v>-9.4000158421190232</v>
      </c>
      <c r="V496" s="118" t="e">
        <f t="shared" si="152"/>
        <v>#N/A</v>
      </c>
      <c r="W496" s="118" t="e">
        <f t="shared" si="153"/>
        <v>#N/A</v>
      </c>
      <c r="X496" s="118">
        <f>IF(OR(N496="",R496=""),NA(),10*LOG10((G496+'CMOS FOM coeff. calculation'!$Q$3)^'CMOS FOM coeff. calculation'!$P$3*(1000*E496)^'CMOS FOM coeff. calculation'!$N$3*R496^'CMOS FOM coeff. calculation'!$O$3*N496^'CMOS FOM coeff. calculation'!$M$3))</f>
        <v>19.321654267641168</v>
      </c>
      <c r="Y496" s="68"/>
    </row>
    <row r="497" spans="1:27" ht="17.25">
      <c r="A497" s="2" t="s">
        <v>3203</v>
      </c>
      <c r="B497" s="8" t="s">
        <v>2759</v>
      </c>
      <c r="C497" t="s">
        <v>2760</v>
      </c>
      <c r="D497" t="s">
        <v>2761</v>
      </c>
      <c r="E497" s="1">
        <v>4.4999999999999998E-2</v>
      </c>
      <c r="F497" s="1">
        <v>31.5</v>
      </c>
      <c r="G497" s="1">
        <v>141.25</v>
      </c>
      <c r="H497" s="1">
        <v>-5</v>
      </c>
      <c r="I497" s="1">
        <v>8</v>
      </c>
      <c r="J497" s="1">
        <v>-14.5</v>
      </c>
      <c r="L497" s="1">
        <v>16</v>
      </c>
      <c r="M497" s="1">
        <v>1</v>
      </c>
      <c r="N497" s="1">
        <v>75</v>
      </c>
      <c r="O497" s="1">
        <v>0.37</v>
      </c>
      <c r="P497" s="1">
        <v>7.0000000000000007E-2</v>
      </c>
      <c r="Q497" s="118">
        <f t="shared" si="147"/>
        <v>5.4463803334051448</v>
      </c>
      <c r="R497" s="119">
        <f t="shared" si="148"/>
        <v>1579.450296687492</v>
      </c>
      <c r="S497" s="118">
        <f t="shared" si="149"/>
        <v>1.3770562056993971</v>
      </c>
      <c r="T497" s="118">
        <f t="shared" si="150"/>
        <v>17.235193976257449</v>
      </c>
      <c r="U497" s="118">
        <f t="shared" si="151"/>
        <v>-12.240825463625448</v>
      </c>
      <c r="V497" s="118">
        <f t="shared" si="152"/>
        <v>-25.699562532749965</v>
      </c>
      <c r="W497" s="118">
        <f t="shared" si="153"/>
        <v>-20.705194020117965</v>
      </c>
      <c r="X497" s="118">
        <f>IF(OR(N497="",R497=""),NA(),10*LOG10((G497+'CMOS FOM coeff. calculation'!$Q$3)^'CMOS FOM coeff. calculation'!$P$3*(1000*E497)^'CMOS FOM coeff. calculation'!$N$3*R497^'CMOS FOM coeff. calculation'!$O$3*N497^'CMOS FOM coeff. calculation'!$M$3))</f>
        <v>22.867625923428022</v>
      </c>
      <c r="Y497" s="68"/>
      <c r="Z497" s="4" t="s">
        <v>2762</v>
      </c>
    </row>
    <row r="498" spans="1:27">
      <c r="A498" s="2" t="s">
        <v>3203</v>
      </c>
      <c r="B498" s="8" t="s">
        <v>2763</v>
      </c>
      <c r="C498" t="s">
        <v>2764</v>
      </c>
      <c r="D498" t="s">
        <v>2765</v>
      </c>
      <c r="E498" s="1">
        <v>5.5E-2</v>
      </c>
      <c r="F498" s="1">
        <v>5.5</v>
      </c>
      <c r="G498" s="1">
        <v>9.25</v>
      </c>
      <c r="H498" s="1">
        <v>-14</v>
      </c>
      <c r="I498" s="1">
        <v>3.26</v>
      </c>
      <c r="J498" s="1">
        <v>-12.2</v>
      </c>
      <c r="L498" s="1">
        <v>20.2</v>
      </c>
      <c r="N498" s="1">
        <v>75</v>
      </c>
      <c r="P498" s="1">
        <v>0.98</v>
      </c>
      <c r="Q498" s="118">
        <f t="shared" si="147"/>
        <v>1.1291443803664793</v>
      </c>
      <c r="R498" s="119">
        <f t="shared" si="148"/>
        <v>327.45187030627903</v>
      </c>
      <c r="S498" s="118">
        <f t="shared" si="149"/>
        <v>6.2493174861944949</v>
      </c>
      <c r="T498" s="118">
        <f t="shared" si="150"/>
        <v>17.131918240775398</v>
      </c>
      <c r="U498" s="118">
        <f t="shared" si="151"/>
        <v>-14.664042609127918</v>
      </c>
      <c r="V498" s="118">
        <f t="shared" si="152"/>
        <v>-19.751028563399814</v>
      </c>
      <c r="W498" s="118">
        <f t="shared" si="153"/>
        <v>-17.283152931752333</v>
      </c>
      <c r="X498" s="118">
        <f>IF(OR(N498="",R498=""),NA(),10*LOG10((G498+'CMOS FOM coeff. calculation'!$Q$3)^'CMOS FOM coeff. calculation'!$P$3*(1000*E498)^'CMOS FOM coeff. calculation'!$N$3*R498^'CMOS FOM coeff. calculation'!$O$3*N498^'CMOS FOM coeff. calculation'!$M$3))</f>
        <v>13.198945962719863</v>
      </c>
      <c r="Y498" s="68"/>
      <c r="Z498" s="4" t="s">
        <v>2766</v>
      </c>
    </row>
    <row r="499" spans="1:27">
      <c r="A499" s="2" t="s">
        <v>3203</v>
      </c>
      <c r="B499" s="8" t="s">
        <v>2767</v>
      </c>
      <c r="C499" t="s">
        <v>2768</v>
      </c>
      <c r="D499" t="s">
        <v>2769</v>
      </c>
      <c r="E499" s="1">
        <v>6.5000000000000002E-2</v>
      </c>
      <c r="F499" s="1">
        <v>10</v>
      </c>
      <c r="G499" s="1">
        <v>27.9</v>
      </c>
      <c r="H499" s="1">
        <v>-14.6</v>
      </c>
      <c r="I499" s="1">
        <v>2.27</v>
      </c>
      <c r="K499" s="1">
        <v>-10.4</v>
      </c>
      <c r="L499" s="1">
        <v>18.64</v>
      </c>
      <c r="M499" s="1">
        <v>1</v>
      </c>
      <c r="N499" s="1">
        <v>10</v>
      </c>
      <c r="P499" s="1">
        <v>0.11</v>
      </c>
      <c r="Q499" s="118">
        <f t="shared" si="147"/>
        <v>0.69607342223191859</v>
      </c>
      <c r="R499" s="119">
        <f t="shared" si="148"/>
        <v>201.8612924472564</v>
      </c>
      <c r="S499" s="118" t="str">
        <f t="shared" si="149"/>
        <v/>
      </c>
      <c r="T499" s="118">
        <f t="shared" si="150"/>
        <v>7.9503444062330626</v>
      </c>
      <c r="U499" s="118">
        <f t="shared" si="151"/>
        <v>-4.6170110728997287</v>
      </c>
      <c r="V499" s="118" t="e">
        <f t="shared" si="152"/>
        <v>#N/A</v>
      </c>
      <c r="W499" s="118" t="e">
        <f t="shared" si="153"/>
        <v>#N/A</v>
      </c>
      <c r="X499" s="118">
        <f>IF(OR(N499="",R499=""),NA(),10*LOG10((G499+'CMOS FOM coeff. calculation'!$Q$3)^'CMOS FOM coeff. calculation'!$P$3*(1000*E499)^'CMOS FOM coeff. calculation'!$N$3*R499^'CMOS FOM coeff. calculation'!$O$3*N499^'CMOS FOM coeff. calculation'!$M$3))</f>
        <v>22.430557967157139</v>
      </c>
      <c r="Y499" s="68"/>
      <c r="Z499" s="4" t="s">
        <v>2770</v>
      </c>
    </row>
    <row r="500" spans="1:27" ht="17.25">
      <c r="A500" s="2" t="s">
        <v>3203</v>
      </c>
      <c r="B500" s="8" t="s">
        <v>2771</v>
      </c>
      <c r="C500" t="s">
        <v>2772</v>
      </c>
      <c r="E500" s="1">
        <v>2.8000000000000001E-2</v>
      </c>
      <c r="F500" s="1">
        <v>3.4</v>
      </c>
      <c r="G500" s="1">
        <v>24</v>
      </c>
      <c r="H500" s="1">
        <v>-10</v>
      </c>
      <c r="I500" s="1">
        <v>5.63</v>
      </c>
      <c r="J500" s="1">
        <v>-40</v>
      </c>
      <c r="L500" s="1">
        <v>29.9</v>
      </c>
      <c r="M500" s="1">
        <v>1</v>
      </c>
      <c r="N500" s="1">
        <v>25.6</v>
      </c>
      <c r="P500" s="1">
        <v>0.22</v>
      </c>
      <c r="Q500" s="118">
        <f t="shared" si="147"/>
        <v>2.6586685129893888</v>
      </c>
      <c r="R500" s="119">
        <f t="shared" si="148"/>
        <v>771.01386876692277</v>
      </c>
      <c r="S500" s="118">
        <f t="shared" si="149"/>
        <v>9.7623722095581067E-2</v>
      </c>
      <c r="T500" s="118">
        <f t="shared" si="150"/>
        <v>20.443926443547923</v>
      </c>
      <c r="U500" s="118">
        <f t="shared" si="151"/>
        <v>-18.672330053407073</v>
      </c>
      <c r="V500" s="118">
        <f t="shared" si="152"/>
        <v>-27.930772698220942</v>
      </c>
      <c r="W500" s="118">
        <f t="shared" si="153"/>
        <v>-26.159176308080092</v>
      </c>
      <c r="X500" s="118">
        <f>IF(OR(N500="",R500=""),NA(),10*LOG10((G500+'CMOS FOM coeff. calculation'!$Q$3)^'CMOS FOM coeff. calculation'!$P$3*(1000*E500)^'CMOS FOM coeff. calculation'!$N$3*R500^'CMOS FOM coeff. calculation'!$O$3*N500^'CMOS FOM coeff. calculation'!$M$3))</f>
        <v>12.971333836281552</v>
      </c>
      <c r="Y500" s="68"/>
      <c r="Z500" s="4" t="s">
        <v>2773</v>
      </c>
      <c r="AA500" t="s">
        <v>2774</v>
      </c>
    </row>
    <row r="501" spans="1:27">
      <c r="A501" s="2"/>
      <c r="B501" s="8"/>
      <c r="E501" s="1">
        <v>2.8000000000000001E-2</v>
      </c>
      <c r="F501" s="1">
        <v>3.1</v>
      </c>
      <c r="G501" s="1">
        <v>33</v>
      </c>
      <c r="H501" s="1">
        <v>-10</v>
      </c>
      <c r="I501" s="1">
        <v>4.55</v>
      </c>
      <c r="J501" s="1">
        <v>-42</v>
      </c>
      <c r="L501" s="1">
        <v>32.4</v>
      </c>
      <c r="M501" s="1">
        <v>1</v>
      </c>
      <c r="N501" s="1">
        <v>25.6</v>
      </c>
      <c r="P501" s="1">
        <v>0.22</v>
      </c>
      <c r="Q501" s="118">
        <f t="shared" si="147"/>
        <v>1.8520840306224342</v>
      </c>
      <c r="R501" s="119">
        <f t="shared" si="148"/>
        <v>537.10436888050594</v>
      </c>
      <c r="S501" s="118">
        <f t="shared" si="149"/>
        <v>0.10958472387987042</v>
      </c>
      <c r="T501" s="118">
        <f t="shared" si="150"/>
        <v>17.951873404974464</v>
      </c>
      <c r="U501" s="118">
        <f t="shared" si="151"/>
        <v>-16.314001092193553</v>
      </c>
      <c r="V501" s="118">
        <f t="shared" si="152"/>
        <v>-25.732413134485181</v>
      </c>
      <c r="W501" s="118">
        <f t="shared" si="153"/>
        <v>-24.094540821704271</v>
      </c>
      <c r="X501" s="118">
        <f>IF(OR(N501="",R501=""),NA(),10*LOG10((G501+'CMOS FOM coeff. calculation'!$Q$3)^'CMOS FOM coeff. calculation'!$P$3*(1000*E501)^'CMOS FOM coeff. calculation'!$N$3*R501^'CMOS FOM coeff. calculation'!$O$3*N501^'CMOS FOM coeff. calculation'!$M$3))</f>
        <v>16.221938096447559</v>
      </c>
      <c r="Y501" s="68"/>
      <c r="Z501" s="4"/>
    </row>
    <row r="502" spans="1:27">
      <c r="A502" s="2"/>
      <c r="B502" s="8"/>
      <c r="E502" s="1">
        <v>2.8000000000000001E-2</v>
      </c>
      <c r="F502" s="1">
        <v>14.8</v>
      </c>
      <c r="G502" s="1">
        <v>50</v>
      </c>
      <c r="H502" s="1">
        <v>-10</v>
      </c>
      <c r="I502" s="1">
        <v>5.96</v>
      </c>
      <c r="J502" s="1">
        <v>-34</v>
      </c>
      <c r="L502" s="1">
        <v>22.2</v>
      </c>
      <c r="M502" s="1">
        <v>1</v>
      </c>
      <c r="N502" s="1">
        <v>25.6</v>
      </c>
      <c r="P502" s="1">
        <v>0.22</v>
      </c>
      <c r="Q502" s="118">
        <f t="shared" si="147"/>
        <v>2.96242338685036</v>
      </c>
      <c r="R502" s="119">
        <f t="shared" si="148"/>
        <v>859.10278218660437</v>
      </c>
      <c r="S502" s="118">
        <f t="shared" si="149"/>
        <v>6.5671237630206075E-2</v>
      </c>
      <c r="T502" s="118">
        <f t="shared" si="150"/>
        <v>18.788697380161953</v>
      </c>
      <c r="U502" s="118">
        <f t="shared" si="151"/>
        <v>-14.887824995512094</v>
      </c>
      <c r="V502" s="118">
        <f t="shared" si="152"/>
        <v>-27.912006713419579</v>
      </c>
      <c r="W502" s="118">
        <f t="shared" si="153"/>
        <v>-24.011134328769721</v>
      </c>
      <c r="X502" s="118">
        <f>IF(OR(N502="",R502=""),NA(),10*LOG10((G502+'CMOS FOM coeff. calculation'!$Q$3)^'CMOS FOM coeff. calculation'!$P$3*(1000*E502)^'CMOS FOM coeff. calculation'!$N$3*R502^'CMOS FOM coeff. calculation'!$O$3*N502^'CMOS FOM coeff. calculation'!$M$3))</f>
        <v>17.057920720725342</v>
      </c>
      <c r="Y502" s="68"/>
      <c r="Z502" s="4"/>
    </row>
    <row r="503" spans="1:27">
      <c r="A503" s="2" t="s">
        <v>3203</v>
      </c>
      <c r="B503" s="8" t="s">
        <v>2775</v>
      </c>
      <c r="C503" t="s">
        <v>2776</v>
      </c>
      <c r="D503" t="s">
        <v>2777</v>
      </c>
      <c r="E503" s="1">
        <v>5.5E-2</v>
      </c>
      <c r="F503" s="1">
        <v>23.5</v>
      </c>
      <c r="G503" s="1">
        <v>76.25</v>
      </c>
      <c r="H503" s="1">
        <v>-10</v>
      </c>
      <c r="I503" s="1">
        <v>5</v>
      </c>
      <c r="K503" s="1">
        <v>-12.2</v>
      </c>
      <c r="L503" s="1">
        <v>15</v>
      </c>
      <c r="N503" s="1">
        <v>72.7</v>
      </c>
      <c r="P503" s="1">
        <v>0.106</v>
      </c>
      <c r="Q503" s="118">
        <f t="shared" si="147"/>
        <v>2.2328877713380337</v>
      </c>
      <c r="R503" s="119">
        <f t="shared" si="148"/>
        <v>647.53745368802981</v>
      </c>
      <c r="S503" s="118" t="str">
        <f t="shared" si="149"/>
        <v/>
      </c>
      <c r="T503" s="118">
        <f t="shared" si="150"/>
        <v>13.940682142034246</v>
      </c>
      <c r="U503" s="118">
        <f t="shared" si="151"/>
        <v>-9.3704559344617913</v>
      </c>
      <c r="V503" s="118" t="e">
        <f t="shared" si="152"/>
        <v>#N/A</v>
      </c>
      <c r="W503" s="118" t="e">
        <f t="shared" si="153"/>
        <v>#N/A</v>
      </c>
      <c r="X503" s="118">
        <f>IF(OR(N503="",R503=""),NA(),10*LOG10((G503+'CMOS FOM coeff. calculation'!$Q$3)^'CMOS FOM coeff. calculation'!$P$3*(1000*E503)^'CMOS FOM coeff. calculation'!$N$3*R503^'CMOS FOM coeff. calculation'!$O$3*N503^'CMOS FOM coeff. calculation'!$M$3))</f>
        <v>22.286257390270102</v>
      </c>
      <c r="Y503" s="68"/>
      <c r="Z503" s="4" t="s">
        <v>2778</v>
      </c>
    </row>
    <row r="504" spans="1:27">
      <c r="A504" s="2" t="s">
        <v>3204</v>
      </c>
      <c r="B504" s="8" t="s">
        <v>3034</v>
      </c>
      <c r="C504" t="s">
        <v>3035</v>
      </c>
      <c r="D504" t="s">
        <v>3036</v>
      </c>
      <c r="E504" s="1">
        <v>0.09</v>
      </c>
      <c r="F504" s="1">
        <v>4.0999999999999996</v>
      </c>
      <c r="G504" s="1">
        <v>36.049999999999997</v>
      </c>
      <c r="H504" s="1">
        <v>-10</v>
      </c>
      <c r="I504" s="1">
        <v>4.7</v>
      </c>
      <c r="J504" s="1">
        <v>-16</v>
      </c>
      <c r="L504" s="1">
        <v>17.600000000000001</v>
      </c>
      <c r="M504" s="1">
        <v>1</v>
      </c>
      <c r="O504" s="1">
        <v>0.21</v>
      </c>
      <c r="Q504" s="118">
        <f t="shared" si="147"/>
        <v>1.985717033735255</v>
      </c>
      <c r="R504" s="119">
        <f t="shared" si="148"/>
        <v>575.85793978322397</v>
      </c>
      <c r="S504" s="118">
        <f t="shared" si="149"/>
        <v>1.4203209064308318</v>
      </c>
      <c r="T504" s="118" t="e">
        <f t="shared" ref="T504:T520" si="154">IF(OR(Q504="",N504="",E504="",G504=""),NA(),10*LOG10(Q504*N504^(1/3)*E504^(-4/3)*G504^(-2/3)))</f>
        <v>#N/A</v>
      </c>
      <c r="U504" s="118" t="e">
        <f t="shared" ref="U504:U520" si="155">IF(OR(ISNA(T504),F504=""),NA(),10*LOG10(F504^(1/3))-T504)</f>
        <v>#N/A</v>
      </c>
      <c r="V504" s="118" t="e">
        <f t="shared" ref="V504:V520" si="156">IF(OR(ISNA(T504),S504=""),NA(),10*LOG10(S504^(1/3)*E504*G504^(1/3)/Q504/N504^(2/3)))</f>
        <v>#N/A</v>
      </c>
      <c r="W504" s="118" t="e">
        <f t="shared" ref="W504:W520" si="157">IF(OR(ISNA(V504),F504=""),NA(),V504+10*LOG10(F504^(1/3)))</f>
        <v>#N/A</v>
      </c>
      <c r="X504" s="118" t="e">
        <f>IF(OR(N504="",R504=""),NA(),10*LOG10((G504+'CMOS FOM coeff. calculation'!$Q$3)^'CMOS FOM coeff. calculation'!$P$3*(1000*E504)^'CMOS FOM coeff. calculation'!$N$3*R504^'CMOS FOM coeff. calculation'!$O$3*N504^'CMOS FOM coeff. calculation'!$M$3))</f>
        <v>#N/A</v>
      </c>
      <c r="Y504" s="68"/>
      <c r="Z504" s="4" t="s">
        <v>3037</v>
      </c>
    </row>
    <row r="505" spans="1:27">
      <c r="A505" s="2" t="s">
        <v>3204</v>
      </c>
      <c r="B505" s="8" t="s">
        <v>3038</v>
      </c>
      <c r="C505" t="s">
        <v>3025</v>
      </c>
      <c r="D505" t="s">
        <v>3039</v>
      </c>
      <c r="E505" s="1">
        <v>6.5000000000000002E-2</v>
      </c>
      <c r="F505" s="1">
        <v>3.5</v>
      </c>
      <c r="G505" s="1">
        <v>10.95</v>
      </c>
      <c r="H505" s="1">
        <v>-15</v>
      </c>
      <c r="I505" s="1">
        <v>2.2999999999999998</v>
      </c>
      <c r="L505" s="1">
        <v>19.5</v>
      </c>
      <c r="M505" s="1">
        <v>1</v>
      </c>
      <c r="N505" s="1">
        <v>5.9</v>
      </c>
      <c r="P505" s="1">
        <v>0.8</v>
      </c>
      <c r="Q505" s="118">
        <f t="shared" si="147"/>
        <v>0.70616697625349478</v>
      </c>
      <c r="R505" s="119">
        <f t="shared" si="148"/>
        <v>204.78842311351349</v>
      </c>
      <c r="S505" s="118" t="str">
        <f t="shared" si="149"/>
        <v/>
      </c>
      <c r="T505" s="118">
        <f t="shared" si="154"/>
        <v>9.9569751958688837</v>
      </c>
      <c r="U505" s="118">
        <f t="shared" si="155"/>
        <v>-8.1434150480346315</v>
      </c>
      <c r="V505" s="118" t="e">
        <f t="shared" si="156"/>
        <v>#N/A</v>
      </c>
      <c r="W505" s="118" t="e">
        <f t="shared" si="157"/>
        <v>#N/A</v>
      </c>
      <c r="X505" s="118">
        <f>IF(OR(N505="",R505=""),NA(),10*LOG10((G505+'CMOS FOM coeff. calculation'!$Q$3)^'CMOS FOM coeff. calculation'!$P$3*(1000*E505)^'CMOS FOM coeff. calculation'!$N$3*R505^'CMOS FOM coeff. calculation'!$O$3*N505^'CMOS FOM coeff. calculation'!$M$3))</f>
        <v>18.357700643837369</v>
      </c>
      <c r="Y505" s="68"/>
      <c r="Z505" s="4" t="s">
        <v>3040</v>
      </c>
    </row>
    <row r="506" spans="1:27">
      <c r="A506" s="2" t="s">
        <v>3204</v>
      </c>
      <c r="B506" s="8" t="s">
        <v>3045</v>
      </c>
      <c r="C506" t="s">
        <v>3046</v>
      </c>
      <c r="D506" t="s">
        <v>3047</v>
      </c>
      <c r="E506" s="1">
        <v>0.09</v>
      </c>
      <c r="F506" s="1">
        <v>4.5</v>
      </c>
      <c r="G506" s="1">
        <v>28.25</v>
      </c>
      <c r="H506" s="1">
        <v>-10</v>
      </c>
      <c r="I506" s="1">
        <v>4.7</v>
      </c>
      <c r="J506" s="1">
        <v>-25.4</v>
      </c>
      <c r="L506" s="1">
        <v>21.4</v>
      </c>
      <c r="M506" s="1">
        <v>1</v>
      </c>
      <c r="N506" s="1">
        <v>17.899999999999999</v>
      </c>
      <c r="O506" s="1">
        <v>0.45</v>
      </c>
      <c r="Q506" s="118">
        <f t="shared" si="147"/>
        <v>1.9654476361188751</v>
      </c>
      <c r="R506" s="119">
        <f t="shared" si="148"/>
        <v>569.97981447447376</v>
      </c>
      <c r="S506" s="118">
        <f t="shared" si="149"/>
        <v>0.39522313905037043</v>
      </c>
      <c r="T506" s="118">
        <f t="shared" si="154"/>
        <v>11.380768407132557</v>
      </c>
      <c r="U506" s="118">
        <f t="shared" si="155"/>
        <v>-9.2033933612147436</v>
      </c>
      <c r="V506" s="118">
        <f t="shared" si="156"/>
        <v>-18.251673838340022</v>
      </c>
      <c r="W506" s="118">
        <f t="shared" si="157"/>
        <v>-16.074298792422208</v>
      </c>
      <c r="X506" s="118">
        <f>IF(OR(N506="",R506=""),NA(),10*LOG10((G506+'CMOS FOM coeff. calculation'!$Q$3)^'CMOS FOM coeff. calculation'!$P$3*(1000*E506)^'CMOS FOM coeff. calculation'!$N$3*R506^'CMOS FOM coeff. calculation'!$O$3*N506^'CMOS FOM coeff. calculation'!$M$3))</f>
        <v>18.928810114940045</v>
      </c>
      <c r="Y506" s="68"/>
      <c r="Z506" s="4" t="s">
        <v>3048</v>
      </c>
    </row>
    <row r="507" spans="1:27">
      <c r="A507" s="2"/>
      <c r="B507" s="8"/>
      <c r="E507" s="1">
        <v>0.09</v>
      </c>
      <c r="F507" s="1">
        <v>6.8</v>
      </c>
      <c r="G507" s="1">
        <v>37.200000000000003</v>
      </c>
      <c r="H507" s="1">
        <v>-10</v>
      </c>
      <c r="I507" s="1">
        <v>4.7</v>
      </c>
      <c r="J507" s="1">
        <v>-26.1</v>
      </c>
      <c r="L507" s="1">
        <v>21.4</v>
      </c>
      <c r="M507" s="1">
        <v>1</v>
      </c>
      <c r="N507" s="1">
        <v>17.899999999999999</v>
      </c>
      <c r="O507" s="1">
        <v>0.45</v>
      </c>
      <c r="Q507" s="118">
        <f t="shared" si="147"/>
        <v>1.9654476361188751</v>
      </c>
      <c r="R507" s="119">
        <f t="shared" si="148"/>
        <v>569.97981447447376</v>
      </c>
      <c r="S507" s="118">
        <f t="shared" si="149"/>
        <v>0.33638944722351699</v>
      </c>
      <c r="T507" s="118">
        <f t="shared" si="154"/>
        <v>10.58393848895629</v>
      </c>
      <c r="U507" s="118">
        <f t="shared" si="155"/>
        <v>-7.8089087799355026</v>
      </c>
      <c r="V507" s="118">
        <f t="shared" si="156"/>
        <v>-18.086592212585224</v>
      </c>
      <c r="W507" s="118">
        <f t="shared" si="157"/>
        <v>-15.311562503564435</v>
      </c>
      <c r="X507" s="118">
        <f>IF(OR(N507="",R507=""),NA(),10*LOG10((G507+'CMOS FOM coeff. calculation'!$Q$3)^'CMOS FOM coeff. calculation'!$P$3*(1000*E507)^'CMOS FOM coeff. calculation'!$N$3*R507^'CMOS FOM coeff. calculation'!$O$3*N507^'CMOS FOM coeff. calculation'!$M$3))</f>
        <v>20.590518603246132</v>
      </c>
      <c r="Y507" s="68"/>
      <c r="Z507" s="4"/>
    </row>
    <row r="508" spans="1:27">
      <c r="A508" s="2" t="s">
        <v>3204</v>
      </c>
      <c r="B508" s="8" t="s">
        <v>3049</v>
      </c>
      <c r="C508" t="s">
        <v>3050</v>
      </c>
      <c r="D508" t="s">
        <v>3051</v>
      </c>
      <c r="E508" s="1">
        <v>2.8000000000000001E-2</v>
      </c>
      <c r="F508" s="1">
        <v>43</v>
      </c>
      <c r="G508" s="1">
        <v>41</v>
      </c>
      <c r="H508" s="1">
        <v>-6</v>
      </c>
      <c r="I508" s="1">
        <v>3.8</v>
      </c>
      <c r="J508" s="1">
        <v>-18</v>
      </c>
      <c r="L508" s="1">
        <v>18.399999999999999</v>
      </c>
      <c r="M508" s="1">
        <v>0.6</v>
      </c>
      <c r="N508" s="1">
        <v>13.7</v>
      </c>
      <c r="O508" s="1">
        <v>0.25</v>
      </c>
      <c r="Q508" s="118">
        <f t="shared" si="147"/>
        <v>1.4193487503425271</v>
      </c>
      <c r="R508" s="119">
        <f t="shared" si="148"/>
        <v>411.61113759933284</v>
      </c>
      <c r="S508" s="118">
        <f t="shared" si="149"/>
        <v>1.0806292642185733</v>
      </c>
      <c r="T508" s="118">
        <f t="shared" si="154"/>
        <v>15.262626958441212</v>
      </c>
      <c r="U508" s="118">
        <f t="shared" si="155"/>
        <v>-9.8177321065092578</v>
      </c>
      <c r="V508" s="118">
        <f t="shared" si="156"/>
        <v>-19.139246061270057</v>
      </c>
      <c r="W508" s="118">
        <f t="shared" si="157"/>
        <v>-13.694351209338102</v>
      </c>
      <c r="X508" s="118">
        <f>IF(OR(N508="",R508=""),NA(),10*LOG10((G508+'CMOS FOM coeff. calculation'!$Q$3)^'CMOS FOM coeff. calculation'!$P$3*(1000*E508)^'CMOS FOM coeff. calculation'!$N$3*R508^'CMOS FOM coeff. calculation'!$O$3*N508^'CMOS FOM coeff. calculation'!$M$3))</f>
        <v>19.165062581023182</v>
      </c>
      <c r="Y508" s="68"/>
      <c r="Z508" s="4" t="s">
        <v>3052</v>
      </c>
    </row>
    <row r="509" spans="1:27">
      <c r="A509" s="2"/>
      <c r="B509" s="8"/>
      <c r="E509" s="1">
        <v>2.8000000000000001E-2</v>
      </c>
      <c r="F509" s="1">
        <v>45</v>
      </c>
      <c r="G509" s="1">
        <v>40</v>
      </c>
      <c r="H509" s="1">
        <v>-6</v>
      </c>
      <c r="I509" s="1">
        <v>3.7</v>
      </c>
      <c r="J509" s="1">
        <v>-17</v>
      </c>
      <c r="L509" s="1">
        <v>22.7</v>
      </c>
      <c r="M509" s="1">
        <v>1</v>
      </c>
      <c r="N509" s="1">
        <v>27.3</v>
      </c>
      <c r="O509" s="1">
        <v>0.25</v>
      </c>
      <c r="Q509" s="118">
        <f t="shared" ref="Q509:Q520" si="158">IF(OR(I509="",L509=""),"",(10^(I509/10)-1)*10^(L509/10)/(10^(L509/10)-1))</f>
        <v>1.3514867287771797</v>
      </c>
      <c r="R509" s="119">
        <f t="shared" ref="R509:R520" si="159">IF(Q509="","",290*Q509)</f>
        <v>391.93115134538209</v>
      </c>
      <c r="S509" s="118">
        <f t="shared" ref="S509:S520" si="160">IF(OR(J509="",L509=""),"",10^(J509/10)*(10^(L509/10)-1))</f>
        <v>3.6953996678220382</v>
      </c>
      <c r="T509" s="118">
        <f t="shared" si="154"/>
        <v>16.119486317436234</v>
      </c>
      <c r="U509" s="118">
        <f t="shared" si="155"/>
        <v>-10.608777938185089</v>
      </c>
      <c r="V509" s="118">
        <f t="shared" si="156"/>
        <v>-19.17855049835487</v>
      </c>
      <c r="W509" s="118">
        <f t="shared" si="157"/>
        <v>-13.667842119103724</v>
      </c>
      <c r="X509" s="118">
        <f>IF(OR(N509="",R509=""),NA(),10*LOG10((G509+'CMOS FOM coeff. calculation'!$Q$3)^'CMOS FOM coeff. calculation'!$P$3*(1000*E509)^'CMOS FOM coeff. calculation'!$N$3*R509^'CMOS FOM coeff. calculation'!$O$3*N509^'CMOS FOM coeff. calculation'!$M$3))</f>
        <v>18.59887860634641</v>
      </c>
      <c r="Y509" s="68"/>
      <c r="Z509" s="4"/>
    </row>
    <row r="510" spans="1:27">
      <c r="A510" t="s">
        <v>3164</v>
      </c>
      <c r="B510" s="8" t="s">
        <v>3205</v>
      </c>
      <c r="C510" t="s">
        <v>3206</v>
      </c>
      <c r="D510" t="s">
        <v>3207</v>
      </c>
      <c r="E510" s="1">
        <v>6.5000000000000002E-2</v>
      </c>
      <c r="F510" s="1">
        <v>11</v>
      </c>
      <c r="G510" s="1">
        <v>7.7</v>
      </c>
      <c r="H510" s="1">
        <v>-10</v>
      </c>
      <c r="I510" s="1">
        <v>3.3</v>
      </c>
      <c r="J510" s="1">
        <v>-16</v>
      </c>
      <c r="K510" s="1">
        <v>-5.2</v>
      </c>
      <c r="L510" s="1">
        <v>16.3</v>
      </c>
      <c r="M510" s="1">
        <v>1</v>
      </c>
      <c r="N510" s="1">
        <v>3.2</v>
      </c>
      <c r="P510" s="1">
        <v>0.48</v>
      </c>
      <c r="Q510" s="118">
        <f t="shared" si="158"/>
        <v>1.1652788930929585</v>
      </c>
      <c r="R510" s="119">
        <f t="shared" si="159"/>
        <v>337.93087899695797</v>
      </c>
      <c r="S510" s="118">
        <f t="shared" si="160"/>
        <v>1.0464004409225101</v>
      </c>
      <c r="T510" s="118">
        <f t="shared" si="154"/>
        <v>12.266015805386896</v>
      </c>
      <c r="U510" s="118">
        <f t="shared" si="155"/>
        <v>-8.7947068548594789</v>
      </c>
      <c r="V510" s="118">
        <f t="shared" si="156"/>
        <v>-12.882202959240342</v>
      </c>
      <c r="W510" s="118">
        <f t="shared" si="157"/>
        <v>-9.4108940087129245</v>
      </c>
      <c r="X510" s="118">
        <f>IF(OR(N510="",R510=""),NA(),10*LOG10((G510+'CMOS FOM coeff. calculation'!$Q$3)^'CMOS FOM coeff. calculation'!$P$3*(1000*E510)^'CMOS FOM coeff. calculation'!$N$3*R510^'CMOS FOM coeff. calculation'!$O$3*N510^'CMOS FOM coeff. calculation'!$M$3))</f>
        <v>15.72952493493429</v>
      </c>
      <c r="Y510" s="68"/>
      <c r="Z510" s="4" t="s">
        <v>3208</v>
      </c>
    </row>
    <row r="511" spans="1:27">
      <c r="A511" t="s">
        <v>3164</v>
      </c>
      <c r="B511" s="8" t="s">
        <v>3213</v>
      </c>
      <c r="C511" t="s">
        <v>3214</v>
      </c>
      <c r="D511" t="s">
        <v>3215</v>
      </c>
      <c r="E511" s="1">
        <v>2.1999999999999999E-2</v>
      </c>
      <c r="F511" s="1">
        <v>7.1</v>
      </c>
      <c r="G511" s="1">
        <v>30.1</v>
      </c>
      <c r="H511" s="1">
        <v>-5</v>
      </c>
      <c r="I511" s="1">
        <v>5.5</v>
      </c>
      <c r="J511" s="1">
        <v>-28.8</v>
      </c>
      <c r="L511" s="1">
        <v>16</v>
      </c>
      <c r="M511" s="1">
        <v>0.8</v>
      </c>
      <c r="N511" s="1">
        <v>0.97</v>
      </c>
      <c r="O511" s="1">
        <v>4.3999999999999997E-2</v>
      </c>
      <c r="Q511" s="118">
        <f t="shared" si="158"/>
        <v>2.6137893113969843</v>
      </c>
      <c r="R511" s="119">
        <f t="shared" si="159"/>
        <v>757.9989003051254</v>
      </c>
      <c r="S511" s="118">
        <f t="shared" si="160"/>
        <v>5.1162489286420892E-2</v>
      </c>
      <c r="T511" s="118">
        <f t="shared" si="154"/>
        <v>16.372532509280539</v>
      </c>
      <c r="U511" s="118">
        <f t="shared" si="155"/>
        <v>-13.535004680216955</v>
      </c>
      <c r="V511" s="118">
        <f t="shared" si="156"/>
        <v>-20.035229989185638</v>
      </c>
      <c r="W511" s="118">
        <f t="shared" si="157"/>
        <v>-17.197702160122052</v>
      </c>
      <c r="X511" s="118">
        <f>IF(OR(N511="",R511=""),NA(),10*LOG10((G511+'CMOS FOM coeff. calculation'!$Q$3)^'CMOS FOM coeff. calculation'!$P$3*(1000*E511)^'CMOS FOM coeff. calculation'!$N$3*R511^'CMOS FOM coeff. calculation'!$O$3*N511^'CMOS FOM coeff. calculation'!$M$3))</f>
        <v>16.434472641610451</v>
      </c>
      <c r="Y511" s="68"/>
      <c r="Z511" s="4" t="s">
        <v>3216</v>
      </c>
    </row>
    <row r="512" spans="1:27">
      <c r="A512" s="2"/>
      <c r="B512" s="8"/>
      <c r="E512" s="1">
        <v>2.1999999999999999E-2</v>
      </c>
      <c r="F512" s="1">
        <v>7.2</v>
      </c>
      <c r="G512" s="1">
        <v>30.1</v>
      </c>
      <c r="H512" s="1">
        <v>-5</v>
      </c>
      <c r="I512" s="1">
        <v>6.3</v>
      </c>
      <c r="J512" s="1">
        <v>-21</v>
      </c>
      <c r="L512" s="1">
        <v>8</v>
      </c>
      <c r="M512" s="1">
        <v>0.8</v>
      </c>
      <c r="N512" s="1">
        <v>0.41</v>
      </c>
      <c r="O512" s="1">
        <v>4.3999999999999997E-2</v>
      </c>
      <c r="Q512" s="118">
        <f t="shared" si="158"/>
        <v>3.8808719398429758</v>
      </c>
      <c r="R512" s="119">
        <f t="shared" si="159"/>
        <v>1125.4528625544631</v>
      </c>
      <c r="S512" s="118">
        <f t="shared" si="160"/>
        <v>4.2175441015484413E-2</v>
      </c>
      <c r="T512" s="118">
        <f t="shared" si="154"/>
        <v>16.842493596372531</v>
      </c>
      <c r="U512" s="118">
        <f t="shared" si="155"/>
        <v>-13.984718608268302</v>
      </c>
      <c r="V512" s="118">
        <f t="shared" si="156"/>
        <v>-19.538204931600529</v>
      </c>
      <c r="W512" s="118">
        <f t="shared" si="157"/>
        <v>-16.6804299434963</v>
      </c>
      <c r="X512" s="118">
        <f>IF(OR(N512="",R512=""),NA(),10*LOG10((G512+'CMOS FOM coeff. calculation'!$Q$3)^'CMOS FOM coeff. calculation'!$P$3*(1000*E512)^'CMOS FOM coeff. calculation'!$N$3*R512^'CMOS FOM coeff. calculation'!$O$3*N512^'CMOS FOM coeff. calculation'!$M$3))</f>
        <v>15.637519785681151</v>
      </c>
      <c r="Y512" s="68"/>
      <c r="Z512" s="4"/>
    </row>
    <row r="513" spans="1:26">
      <c r="A513" t="s">
        <v>3164</v>
      </c>
      <c r="B513" s="8" t="s">
        <v>3217</v>
      </c>
      <c r="C513" t="s">
        <v>3219</v>
      </c>
      <c r="D513" t="s">
        <v>3218</v>
      </c>
      <c r="E513" s="1">
        <v>2.1999999999999999E-2</v>
      </c>
      <c r="F513" s="1">
        <v>10.8</v>
      </c>
      <c r="G513" s="1">
        <v>152</v>
      </c>
      <c r="H513" s="1">
        <v>-10</v>
      </c>
      <c r="I513" s="1">
        <v>7.5</v>
      </c>
      <c r="J513" s="1">
        <v>-17</v>
      </c>
      <c r="L513" s="1">
        <v>18</v>
      </c>
      <c r="M513" s="1">
        <v>0.9</v>
      </c>
      <c r="N513" s="1">
        <v>27.5</v>
      </c>
      <c r="O513" s="1">
        <v>0.09</v>
      </c>
      <c r="Q513" s="118">
        <f t="shared" si="158"/>
        <v>4.6978694652489317</v>
      </c>
      <c r="R513" s="119">
        <f t="shared" si="159"/>
        <v>1362.3821449221903</v>
      </c>
      <c r="S513" s="118">
        <f t="shared" si="160"/>
        <v>1.238972788644479</v>
      </c>
      <c r="T513" s="118">
        <f t="shared" si="154"/>
        <v>19.072192102098256</v>
      </c>
      <c r="U513" s="118">
        <f t="shared" si="155"/>
        <v>-15.62744625047509</v>
      </c>
      <c r="V513" s="118">
        <f t="shared" si="156"/>
        <v>-25.307316083613895</v>
      </c>
      <c r="W513" s="118">
        <f t="shared" si="157"/>
        <v>-21.86257023199073</v>
      </c>
      <c r="X513" s="118">
        <f>IF(OR(N513="",R513=""),NA(),10*LOG10((G513+'CMOS FOM coeff. calculation'!$Q$3)^'CMOS FOM coeff. calculation'!$P$3*(1000*E513)^'CMOS FOM coeff. calculation'!$N$3*R513^'CMOS FOM coeff. calculation'!$O$3*N513^'CMOS FOM coeff. calculation'!$M$3))</f>
        <v>22.722223278033397</v>
      </c>
      <c r="Y513" s="68"/>
      <c r="Z513" s="4" t="s">
        <v>3220</v>
      </c>
    </row>
    <row r="514" spans="1:26">
      <c r="A514" s="2" t="s">
        <v>3456</v>
      </c>
      <c r="B514" s="8" t="s">
        <v>3462</v>
      </c>
      <c r="C514" t="s">
        <v>3463</v>
      </c>
      <c r="D514" t="s">
        <v>3464</v>
      </c>
      <c r="E514" s="1">
        <v>0.04</v>
      </c>
      <c r="F514" s="1">
        <v>24</v>
      </c>
      <c r="G514" s="1">
        <v>127.7</v>
      </c>
      <c r="H514" s="1">
        <v>-5</v>
      </c>
      <c r="I514" s="1">
        <v>7.9</v>
      </c>
      <c r="J514" s="1">
        <v>-24.8</v>
      </c>
      <c r="L514" s="1">
        <v>19.7</v>
      </c>
      <c r="M514" s="1">
        <v>0.8</v>
      </c>
      <c r="N514" s="1">
        <v>17.8</v>
      </c>
      <c r="O514" s="1">
        <v>7.2800000000000004E-2</v>
      </c>
      <c r="P514" s="1">
        <v>0.31680000000000003</v>
      </c>
      <c r="Q514" s="118">
        <f t="shared" si="158"/>
        <v>5.2219037251305185</v>
      </c>
      <c r="R514" s="119">
        <f t="shared" si="159"/>
        <v>1514.3520802878504</v>
      </c>
      <c r="S514" s="118">
        <f t="shared" si="160"/>
        <v>0.30571823203653331</v>
      </c>
      <c r="T514" s="118">
        <f t="shared" si="154"/>
        <v>15.944282747440091</v>
      </c>
      <c r="U514" s="118">
        <f t="shared" si="155"/>
        <v>-11.343578608401405</v>
      </c>
      <c r="V514" s="118">
        <f t="shared" si="156"/>
        <v>-24.188781252432964</v>
      </c>
      <c r="W514" s="118">
        <f t="shared" si="157"/>
        <v>-19.588077113394277</v>
      </c>
      <c r="X514" s="118">
        <f>IF(OR(N514="",R514=""),NA(),10*LOG10((G514+'CMOS FOM coeff. calculation'!$Q$3)^'CMOS FOM coeff. calculation'!$P$3*(1000*E514)^'CMOS FOM coeff. calculation'!$N$3*R514^'CMOS FOM coeff. calculation'!$O$3*N514^'CMOS FOM coeff. calculation'!$M$3))</f>
        <v>23.131186117451378</v>
      </c>
      <c r="Y514" s="68"/>
      <c r="Z514" s="4"/>
    </row>
    <row r="515" spans="1:26">
      <c r="A515" s="2" t="s">
        <v>3456</v>
      </c>
      <c r="B515" s="8" t="s">
        <v>3468</v>
      </c>
      <c r="C515" t="s">
        <v>3469</v>
      </c>
      <c r="D515" t="s">
        <v>3470</v>
      </c>
      <c r="E515" s="1">
        <v>5.5E-2</v>
      </c>
      <c r="F515" s="1">
        <v>14</v>
      </c>
      <c r="G515" s="1">
        <v>81.8</v>
      </c>
      <c r="H515" s="1">
        <v>-10</v>
      </c>
      <c r="I515" s="1">
        <v>6.39</v>
      </c>
      <c r="J515" s="1">
        <v>-12.37</v>
      </c>
      <c r="L515" s="1">
        <v>17.100000000000001</v>
      </c>
      <c r="M515" s="1">
        <v>1.2</v>
      </c>
      <c r="N515" s="1">
        <v>72.400000000000006</v>
      </c>
      <c r="O515" s="1">
        <v>0.107</v>
      </c>
      <c r="Q515" s="118">
        <f t="shared" si="158"/>
        <v>3.4218392853739492</v>
      </c>
      <c r="R515" s="119">
        <f t="shared" si="159"/>
        <v>992.33339275844526</v>
      </c>
      <c r="S515" s="118">
        <f t="shared" si="160"/>
        <v>2.9137231620953417</v>
      </c>
      <c r="T515" s="118">
        <f t="shared" si="154"/>
        <v>15.585200083280021</v>
      </c>
      <c r="U515" s="118">
        <f t="shared" si="155"/>
        <v>-11.764773297685895</v>
      </c>
      <c r="V515" s="118">
        <f t="shared" si="156"/>
        <v>-22.413220993422026</v>
      </c>
      <c r="W515" s="118">
        <f t="shared" si="157"/>
        <v>-18.5927942078279</v>
      </c>
      <c r="X515" s="118">
        <f>IF(OR(N515="",R515=""),NA(),10*LOG10((G515+'CMOS FOM coeff. calculation'!$Q$3)^'CMOS FOM coeff. calculation'!$P$3*(1000*E515)^'CMOS FOM coeff. calculation'!$N$3*R515^'CMOS FOM coeff. calculation'!$O$3*N515^'CMOS FOM coeff. calculation'!$M$3))</f>
        <v>21.138567901446734</v>
      </c>
      <c r="Y515" s="68"/>
      <c r="Z515" s="4" t="s">
        <v>3471</v>
      </c>
    </row>
    <row r="516" spans="1:26">
      <c r="A516" s="2" t="s">
        <v>3456</v>
      </c>
      <c r="B516" s="8" t="s">
        <v>3480</v>
      </c>
      <c r="C516" t="s">
        <v>3481</v>
      </c>
      <c r="D516" t="s">
        <v>3482</v>
      </c>
      <c r="F516" s="1">
        <v>13.6</v>
      </c>
      <c r="I516" s="1">
        <v>4.8499999999999996</v>
      </c>
      <c r="J516" s="1">
        <v>-19.7</v>
      </c>
      <c r="L516" s="1">
        <v>23.4</v>
      </c>
      <c r="M516" s="1">
        <v>1.3</v>
      </c>
      <c r="N516" s="1">
        <v>13.3</v>
      </c>
      <c r="O516" s="1">
        <v>0.13800000000000001</v>
      </c>
      <c r="P516" s="1">
        <v>0.4</v>
      </c>
      <c r="Q516" s="118">
        <f t="shared" si="158"/>
        <v>2.0643570454618017</v>
      </c>
      <c r="R516" s="119">
        <f t="shared" si="159"/>
        <v>598.66354318392246</v>
      </c>
      <c r="S516" s="118">
        <f t="shared" si="160"/>
        <v>2.3335136222675441</v>
      </c>
      <c r="T516" s="118" t="e">
        <f t="shared" si="154"/>
        <v>#N/A</v>
      </c>
      <c r="U516" s="118" t="e">
        <f t="shared" si="155"/>
        <v>#N/A</v>
      </c>
      <c r="V516" s="118" t="e">
        <f t="shared" si="156"/>
        <v>#N/A</v>
      </c>
      <c r="W516" s="118" t="e">
        <f t="shared" si="157"/>
        <v>#N/A</v>
      </c>
      <c r="X516" s="118" t="e">
        <f>IF(OR(N516="",R516=""),NA(),10*LOG10((G516+'CMOS FOM coeff. calculation'!$Q$3)^'CMOS FOM coeff. calculation'!$P$3*(1000*E516)^'CMOS FOM coeff. calculation'!$N$3*R516^'CMOS FOM coeff. calculation'!$O$3*N516^'CMOS FOM coeff. calculation'!$M$3))</f>
        <v>#NUM!</v>
      </c>
      <c r="Y516" s="68"/>
      <c r="Z516" s="4" t="s">
        <v>3483</v>
      </c>
    </row>
    <row r="517" spans="1:26">
      <c r="A517" s="2"/>
      <c r="B517" s="8"/>
      <c r="F517" s="1">
        <v>13.7</v>
      </c>
      <c r="I517" s="1">
        <v>4.9000000000000004</v>
      </c>
      <c r="J517" s="1">
        <v>-20.2</v>
      </c>
      <c r="L517" s="1">
        <v>21.9</v>
      </c>
      <c r="M517" s="1">
        <v>1</v>
      </c>
      <c r="N517" s="1">
        <v>10.8</v>
      </c>
      <c r="O517" s="1">
        <v>0.13800000000000001</v>
      </c>
      <c r="P517" s="1">
        <v>0.4</v>
      </c>
      <c r="Q517" s="118">
        <f t="shared" si="158"/>
        <v>2.1038792176561691</v>
      </c>
      <c r="R517" s="119">
        <f t="shared" si="159"/>
        <v>610.12497312028904</v>
      </c>
      <c r="S517" s="118">
        <f t="shared" si="160"/>
        <v>1.4695584623079934</v>
      </c>
      <c r="T517" s="118" t="e">
        <f t="shared" si="154"/>
        <v>#N/A</v>
      </c>
      <c r="U517" s="118" t="e">
        <f t="shared" si="155"/>
        <v>#N/A</v>
      </c>
      <c r="V517" s="118" t="e">
        <f t="shared" si="156"/>
        <v>#N/A</v>
      </c>
      <c r="W517" s="118" t="e">
        <f t="shared" si="157"/>
        <v>#N/A</v>
      </c>
      <c r="X517" s="118" t="e">
        <f>IF(OR(N517="",R517=""),NA(),10*LOG10((G517+'CMOS FOM coeff. calculation'!$Q$3)^'CMOS FOM coeff. calculation'!$P$3*(1000*E517)^'CMOS FOM coeff. calculation'!$N$3*R517^'CMOS FOM coeff. calculation'!$O$3*N517^'CMOS FOM coeff. calculation'!$M$3))</f>
        <v>#NUM!</v>
      </c>
      <c r="Y517" s="68"/>
      <c r="Z517" s="4"/>
    </row>
    <row r="518" spans="1:26">
      <c r="A518" s="2"/>
      <c r="B518" s="8"/>
      <c r="F518" s="1">
        <v>13.6</v>
      </c>
      <c r="I518" s="1">
        <v>5</v>
      </c>
      <c r="J518" s="1">
        <v>-23.6</v>
      </c>
      <c r="L518" s="1">
        <v>20.399999999999999</v>
      </c>
      <c r="M518" s="1">
        <v>0.8</v>
      </c>
      <c r="N518" s="1">
        <v>8.6</v>
      </c>
      <c r="O518" s="1">
        <v>0.13800000000000001</v>
      </c>
      <c r="P518" s="1">
        <v>0.4</v>
      </c>
      <c r="Q518" s="118">
        <f t="shared" si="158"/>
        <v>2.1821793725805025</v>
      </c>
      <c r="R518" s="119">
        <f t="shared" si="159"/>
        <v>632.83201804834573</v>
      </c>
      <c r="S518" s="118">
        <f t="shared" si="160"/>
        <v>0.47426493400023645</v>
      </c>
      <c r="T518" s="118" t="e">
        <f t="shared" si="154"/>
        <v>#N/A</v>
      </c>
      <c r="U518" s="118" t="e">
        <f t="shared" si="155"/>
        <v>#N/A</v>
      </c>
      <c r="V518" s="118" t="e">
        <f t="shared" si="156"/>
        <v>#N/A</v>
      </c>
      <c r="W518" s="118" t="e">
        <f t="shared" si="157"/>
        <v>#N/A</v>
      </c>
      <c r="X518" s="118" t="e">
        <f>IF(OR(N518="",R518=""),NA(),10*LOG10((G518+'CMOS FOM coeff. calculation'!$Q$3)^'CMOS FOM coeff. calculation'!$P$3*(1000*E518)^'CMOS FOM coeff. calculation'!$N$3*R518^'CMOS FOM coeff. calculation'!$O$3*N518^'CMOS FOM coeff. calculation'!$M$3))</f>
        <v>#NUM!</v>
      </c>
      <c r="Y518" s="68"/>
      <c r="Z518" s="4"/>
    </row>
    <row r="519" spans="1:26">
      <c r="A519" s="2" t="s">
        <v>3456</v>
      </c>
      <c r="B519" s="8" t="s">
        <v>3484</v>
      </c>
      <c r="C519" t="s">
        <v>3485</v>
      </c>
      <c r="D519" t="s">
        <v>3486</v>
      </c>
      <c r="E519" s="1">
        <v>4.4999999999999998E-2</v>
      </c>
      <c r="F519" s="1">
        <v>4</v>
      </c>
      <c r="G519" s="1">
        <v>19.399999999999999</v>
      </c>
      <c r="H519" s="1">
        <v>-5</v>
      </c>
      <c r="I519" s="1">
        <v>1.3</v>
      </c>
      <c r="J519" s="1">
        <v>-22</v>
      </c>
      <c r="L519" s="1">
        <v>25</v>
      </c>
      <c r="M519" s="1">
        <v>1.3</v>
      </c>
      <c r="N519" s="1">
        <v>11</v>
      </c>
      <c r="P519" s="1">
        <v>0.84</v>
      </c>
      <c r="Q519" s="118">
        <f t="shared" si="158"/>
        <v>0.35006990081850947</v>
      </c>
      <c r="R519" s="119">
        <f t="shared" si="159"/>
        <v>101.52027123736775</v>
      </c>
      <c r="S519" s="118">
        <f t="shared" si="160"/>
        <v>1.9889527415240773</v>
      </c>
      <c r="T519" s="118">
        <f t="shared" si="154"/>
        <v>8.2846782825015133</v>
      </c>
      <c r="U519" s="118">
        <f t="shared" si="155"/>
        <v>-6.2778116447416394</v>
      </c>
      <c r="V519" s="118">
        <f t="shared" si="156"/>
        <v>-10.563953164711554</v>
      </c>
      <c r="W519" s="118">
        <f t="shared" si="157"/>
        <v>-8.5570865269516805</v>
      </c>
      <c r="X519" s="118">
        <f>IF(OR(N519="",R519=""),NA(),10*LOG10((G519+'CMOS FOM coeff. calculation'!$Q$3)^'CMOS FOM coeff. calculation'!$P$3*(1000*E519)^'CMOS FOM coeff. calculation'!$N$3*R519^'CMOS FOM coeff. calculation'!$O$3*N519^'CMOS FOM coeff. calculation'!$M$3))</f>
        <v>21.957512849155059</v>
      </c>
      <c r="Y519" s="68"/>
      <c r="Z519" s="4" t="s">
        <v>3487</v>
      </c>
    </row>
    <row r="520" spans="1:26">
      <c r="A520" s="2"/>
      <c r="B520" s="8"/>
      <c r="E520" s="1">
        <v>4.4999999999999998E-2</v>
      </c>
      <c r="F520" s="1">
        <v>2</v>
      </c>
      <c r="G520" s="1">
        <v>11.7</v>
      </c>
      <c r="H520" s="1">
        <v>-5</v>
      </c>
      <c r="I520" s="1">
        <v>1.4</v>
      </c>
      <c r="J520" s="1">
        <v>-21</v>
      </c>
      <c r="L520" s="1">
        <v>22</v>
      </c>
      <c r="M520" s="1">
        <v>1.3</v>
      </c>
      <c r="N520" s="1">
        <v>15</v>
      </c>
      <c r="P520" s="1">
        <v>0.84</v>
      </c>
      <c r="Q520" s="118">
        <f t="shared" si="158"/>
        <v>0.38279956658287778</v>
      </c>
      <c r="R520" s="119">
        <f t="shared" si="159"/>
        <v>111.01187430903455</v>
      </c>
      <c r="S520" s="118">
        <f t="shared" si="160"/>
        <v>1.2509821294469254</v>
      </c>
      <c r="T520" s="118">
        <f t="shared" si="154"/>
        <v>10.585945975378726</v>
      </c>
      <c r="U520" s="118">
        <f t="shared" si="155"/>
        <v>-9.582512656498789</v>
      </c>
      <c r="V520" s="118">
        <f t="shared" si="156"/>
        <v>-13.25340773814882</v>
      </c>
      <c r="W520" s="118">
        <f t="shared" si="157"/>
        <v>-12.249974419268883</v>
      </c>
      <c r="X520" s="118">
        <f>IF(OR(N520="",R520=""),NA(),10*LOG10((G520+'CMOS FOM coeff. calculation'!$Q$3)^'CMOS FOM coeff. calculation'!$P$3*(1000*E520)^'CMOS FOM coeff. calculation'!$N$3*R520^'CMOS FOM coeff. calculation'!$O$3*N520^'CMOS FOM coeff. calculation'!$M$3))</f>
        <v>19.077975442395566</v>
      </c>
      <c r="Y520" s="68"/>
      <c r="Z520" s="4"/>
    </row>
    <row r="521" spans="1:26">
      <c r="A521" s="2" t="s">
        <v>3624</v>
      </c>
      <c r="B521" s="8" t="s">
        <v>3648</v>
      </c>
      <c r="C521" t="s">
        <v>3649</v>
      </c>
      <c r="D521" t="s">
        <v>3650</v>
      </c>
      <c r="E521" s="1">
        <v>0.09</v>
      </c>
      <c r="F521" s="1">
        <v>19</v>
      </c>
      <c r="G521" s="1">
        <v>38.5</v>
      </c>
      <c r="H521" s="1">
        <v>-8</v>
      </c>
      <c r="I521" s="1">
        <v>5.3</v>
      </c>
      <c r="J521" s="1">
        <v>-16</v>
      </c>
      <c r="L521" s="1">
        <v>19</v>
      </c>
      <c r="M521" s="1">
        <v>0.65</v>
      </c>
      <c r="N521" s="1">
        <v>24.7</v>
      </c>
      <c r="P521" s="1">
        <v>0.57999999999999996</v>
      </c>
      <c r="Q521" s="118">
        <f t="shared" ref="Q521:Q522" si="161">IF(OR(I521="",L521=""),"",(10^(I521/10)-1)*10^(L521/10)/(10^(L521/10)-1))</f>
        <v>2.4188936279586679</v>
      </c>
      <c r="R521" s="119">
        <f t="shared" ref="R521:R522" si="162">IF(Q521="","",290*Q521)</f>
        <v>701.47915210801375</v>
      </c>
      <c r="S521" s="118">
        <f t="shared" ref="S521:S522" si="163">IF(OR(J521="",L521=""),"",10^(J521/10)*(10^(L521/10)-1))</f>
        <v>1.9701434506537834</v>
      </c>
      <c r="T521" s="118">
        <f t="shared" ref="T521:T522" si="164">IF(OR(Q521="",N521="",E521="",G521=""),NA(),10*LOG10(Q521*N521^(1/3)*E521^(-4/3)*G521^(-2/3)))</f>
        <v>11.85218589296028</v>
      </c>
      <c r="U521" s="118">
        <f t="shared" ref="U521:U522" si="165">IF(OR(ISNA(T521),F521=""),NA(),10*LOG10(F521^(1/3))-T521)</f>
        <v>-7.5896738897841844</v>
      </c>
      <c r="V521" s="118">
        <f t="shared" ref="V521:V522" si="166">IF(OR(ISNA(T521),S521=""),NA(),10*LOG10(S521^(1/3)*E521*G521^(1/3)/Q521/N521^(2/3)))</f>
        <v>-17.311860369358261</v>
      </c>
      <c r="W521" s="118">
        <f t="shared" ref="W521:W522" si="167">IF(OR(ISNA(V521),F521=""),NA(),V521+10*LOG10(F521^(1/3)))</f>
        <v>-13.049348366182166</v>
      </c>
      <c r="X521" s="118">
        <f>IF(OR(N521="",R521=""),NA(),10*LOG10((G521+'CMOS FOM coeff. calculation'!$Q$3)^'CMOS FOM coeff. calculation'!$P$3*(1000*E521)^'CMOS FOM coeff. calculation'!$N$3*R521^'CMOS FOM coeff. calculation'!$O$3*N521^'CMOS FOM coeff. calculation'!$M$3))</f>
        <v>19.71638304850811</v>
      </c>
      <c r="Y521" s="68"/>
      <c r="Z521" s="4" t="s">
        <v>3651</v>
      </c>
    </row>
    <row r="522" spans="1:26">
      <c r="A522" s="2" t="s">
        <v>3624</v>
      </c>
      <c r="B522" s="8" t="s">
        <v>3664</v>
      </c>
      <c r="C522" t="s">
        <v>3665</v>
      </c>
      <c r="D522" t="s">
        <v>3666</v>
      </c>
      <c r="E522" s="1">
        <v>2.1999999999999999E-2</v>
      </c>
      <c r="F522" s="1">
        <v>35</v>
      </c>
      <c r="G522" s="1">
        <v>110</v>
      </c>
      <c r="H522" s="1">
        <v>-10</v>
      </c>
      <c r="I522" s="1">
        <v>6.5</v>
      </c>
      <c r="L522" s="1">
        <v>14.8</v>
      </c>
      <c r="M522" s="1">
        <v>1.2</v>
      </c>
      <c r="N522" s="1">
        <v>7.5</v>
      </c>
      <c r="O522" s="1">
        <v>0.08</v>
      </c>
      <c r="Q522" s="118">
        <f t="shared" si="161"/>
        <v>3.5855651421774417</v>
      </c>
      <c r="R522" s="119">
        <f t="shared" si="162"/>
        <v>1039.813891231458</v>
      </c>
      <c r="S522" s="118" t="str">
        <f t="shared" si="163"/>
        <v/>
      </c>
      <c r="T522" s="118">
        <f t="shared" si="164"/>
        <v>16.954193403888777</v>
      </c>
      <c r="U522" s="118">
        <f t="shared" si="165"/>
        <v>-11.807299922721192</v>
      </c>
      <c r="V522" s="118" t="e">
        <f t="shared" si="166"/>
        <v>#N/A</v>
      </c>
      <c r="W522" s="118" t="e">
        <f t="shared" si="167"/>
        <v>#N/A</v>
      </c>
      <c r="X522" s="118">
        <f>IF(OR(N522="",R522=""),NA(),10*LOG10((G522+'CMOS FOM coeff. calculation'!$Q$3)^'CMOS FOM coeff. calculation'!$P$3*(1000*E522)^'CMOS FOM coeff. calculation'!$N$3*R522^'CMOS FOM coeff. calculation'!$O$3*N522^'CMOS FOM coeff. calculation'!$M$3))</f>
        <v>22.376667620552041</v>
      </c>
      <c r="Y522" s="68"/>
      <c r="Z522" s="4" t="s">
        <v>3667</v>
      </c>
    </row>
    <row r="523" spans="1:26">
      <c r="A523" s="2" t="s">
        <v>3624</v>
      </c>
      <c r="B523" s="8" t="s">
        <v>3668</v>
      </c>
      <c r="C523" t="s">
        <v>3669</v>
      </c>
      <c r="D523" t="s">
        <v>3670</v>
      </c>
      <c r="E523" s="1">
        <v>6.5000000000000002E-2</v>
      </c>
      <c r="F523" s="1">
        <v>21</v>
      </c>
      <c r="G523" s="1">
        <v>84.5</v>
      </c>
      <c r="H523" s="1">
        <v>-6</v>
      </c>
      <c r="I523" s="1">
        <v>7</v>
      </c>
      <c r="J523" s="1">
        <v>-14</v>
      </c>
      <c r="L523" s="1">
        <v>18.600000000000001</v>
      </c>
      <c r="M523" s="1">
        <v>1.2</v>
      </c>
      <c r="N523" s="1">
        <v>53</v>
      </c>
      <c r="P523" s="1">
        <v>0.46</v>
      </c>
      <c r="Q523" s="118">
        <f t="shared" ref="Q523" si="168">IF(OR(I523="",L523=""),"",(10^(I523/10)-1)*10^(L523/10)/(10^(L523/10)-1))</f>
        <v>4.0680267372333301</v>
      </c>
      <c r="R523" s="119">
        <f t="shared" ref="R523" si="169">IF(Q523="","",290*Q523)</f>
        <v>1179.7277537976656</v>
      </c>
      <c r="S523" s="118">
        <f t="shared" ref="S523" si="170">IF(OR(J523="",L523=""),"",10^(J523/10)*(10^(L523/10)-1))</f>
        <v>2.8442207860712587</v>
      </c>
      <c r="T523" s="118">
        <f t="shared" ref="T523" si="171">IF(OR(Q523="",N523="",E523="",G523=""),NA(),10*LOG10(Q523*N523^(1/3)*E523^(-4/3)*G523^(-2/3)))</f>
        <v>14.823534737175194</v>
      </c>
      <c r="U523" s="118">
        <f t="shared" ref="U523" si="172">IF(OR(ISNA(T523),F523=""),NA(),10*LOG10(F523^(1/3))-T523)</f>
        <v>-10.416137088062129</v>
      </c>
      <c r="V523" s="118">
        <f t="shared" ref="V523" si="173">IF(OR(ISNA(T523),S523=""),NA(),10*LOG10(S523^(1/3)*E523*G523^(1/3)/Q523/N523^(2/3)))</f>
        <v>-21.523810167820972</v>
      </c>
      <c r="W523" s="118">
        <f t="shared" ref="W523" si="174">IF(OR(ISNA(V523),F523=""),NA(),V523+10*LOG10(F523^(1/3)))</f>
        <v>-17.116412518707907</v>
      </c>
      <c r="X523" s="118">
        <f>IF(OR(N523="",R523=""),NA(),10*LOG10((G523+'CMOS FOM coeff. calculation'!$Q$3)^'CMOS FOM coeff. calculation'!$P$3*(1000*E523)^'CMOS FOM coeff. calculation'!$N$3*R523^'CMOS FOM coeff. calculation'!$O$3*N523^'CMOS FOM coeff. calculation'!$M$3))</f>
        <v>21.482148641532813</v>
      </c>
      <c r="Y523" s="68"/>
      <c r="Z523" s="4" t="s">
        <v>3671</v>
      </c>
    </row>
    <row r="524" spans="1:26">
      <c r="A524" s="2" t="s">
        <v>3624</v>
      </c>
      <c r="B524" s="8" t="s">
        <v>3676</v>
      </c>
      <c r="C524" t="s">
        <v>3677</v>
      </c>
      <c r="D524" t="s">
        <v>3678</v>
      </c>
      <c r="E524" s="1">
        <v>0.18</v>
      </c>
      <c r="F524" s="1">
        <v>3.6</v>
      </c>
      <c r="G524" s="1">
        <v>11.7</v>
      </c>
      <c r="H524" s="1">
        <v>-10</v>
      </c>
      <c r="I524" s="1">
        <v>4.4000000000000004</v>
      </c>
      <c r="J524" s="1">
        <v>-8.5</v>
      </c>
      <c r="K524" s="1">
        <v>2</v>
      </c>
      <c r="L524" s="1">
        <v>17.100000000000001</v>
      </c>
      <c r="M524" s="1">
        <v>1.8</v>
      </c>
      <c r="N524" s="1">
        <v>28.8</v>
      </c>
      <c r="P524" s="1">
        <v>0.6</v>
      </c>
      <c r="Q524" s="118">
        <f t="shared" ref="Q524" si="175">IF(OR(I524="",L524=""),"",(10^(I524/10)-1)*10^(L524/10)/(10^(L524/10)-1))</f>
        <v>1.7891136390119768</v>
      </c>
      <c r="R524" s="119">
        <f t="shared" ref="R524" si="176">IF(Q524="","",290*Q524)</f>
        <v>518.84295531347334</v>
      </c>
      <c r="S524" s="118">
        <f t="shared" ref="S524" si="177">IF(OR(J524="",L524=""),"",10^(J524/10)*(10^(L524/10)-1))</f>
        <v>7.1031058462876313</v>
      </c>
      <c r="T524" s="118">
        <f t="shared" ref="T524" si="178">IF(OR(Q524="",N524="",E524="",G524=""),NA(),10*LOG10(Q524*N524^(1/3)*E524^(-4/3)*G524^(-2/3)))</f>
        <v>10.199481744484098</v>
      </c>
      <c r="U524" s="118">
        <f t="shared" ref="U524" si="179">IF(OR(ISNA(T524),F524=""),NA(),10*LOG10(F524^(1/3))-T524)</f>
        <v>-8.3451400752598062</v>
      </c>
      <c r="V524" s="118">
        <f t="shared" ref="V524" si="180">IF(OR(ISNA(T524),S524=""),NA(),10*LOG10(S524^(1/3)*E524*G524^(1/3)/Q524/N524^(2/3)))</f>
        <v>-13.30415697211272</v>
      </c>
      <c r="W524" s="118">
        <f t="shared" ref="W524" si="181">IF(OR(ISNA(V524),F524=""),NA(),V524+10*LOG10(F524^(1/3)))</f>
        <v>-11.449815302888428</v>
      </c>
      <c r="X524" s="118">
        <f>IF(OR(N524="",R524=""),NA(),10*LOG10((G524+'CMOS FOM coeff. calculation'!$Q$3)^'CMOS FOM coeff. calculation'!$P$3*(1000*E524)^'CMOS FOM coeff. calculation'!$N$3*R524^'CMOS FOM coeff. calculation'!$O$3*N524^'CMOS FOM coeff. calculation'!$M$3))</f>
        <v>16.698794522264471</v>
      </c>
      <c r="Y524" s="68"/>
      <c r="Z524" s="4" t="s">
        <v>3679</v>
      </c>
    </row>
    <row r="525" spans="1:26">
      <c r="A525" s="2" t="s">
        <v>3624</v>
      </c>
      <c r="B525" s="8" t="s">
        <v>3684</v>
      </c>
      <c r="C525" t="s">
        <v>3685</v>
      </c>
      <c r="D525" t="s">
        <v>3686</v>
      </c>
      <c r="E525" s="1">
        <v>1.6E-2</v>
      </c>
      <c r="F525" s="1">
        <v>5.5</v>
      </c>
      <c r="G525" s="1">
        <v>30.25</v>
      </c>
      <c r="H525" s="1">
        <v>-10</v>
      </c>
      <c r="I525" s="1">
        <v>2.2000000000000002</v>
      </c>
      <c r="K525" s="1">
        <v>0.87</v>
      </c>
      <c r="L525" s="1">
        <v>8</v>
      </c>
      <c r="N525" s="1">
        <v>10.4</v>
      </c>
      <c r="O525" s="1">
        <v>0.1</v>
      </c>
      <c r="Q525" s="118">
        <f t="shared" ref="Q525" si="182">IF(OR(I525="",L525=""),"",(10^(I525/10)-1)*10^(L525/10)/(10^(L525/10)-1))</f>
        <v>0.78381287667870503</v>
      </c>
      <c r="R525" s="119">
        <f t="shared" ref="R525" si="183">IF(Q525="","",290*Q525)</f>
        <v>227.30573423682446</v>
      </c>
      <c r="S525" s="118" t="str">
        <f t="shared" ref="S525" si="184">IF(OR(J525="",L525=""),"",10^(J525/10)*(10^(L525/10)-1))</f>
        <v/>
      </c>
      <c r="T525" s="118">
        <f t="shared" ref="T525" si="185">IF(OR(Q525="",N525="",E525="",G525=""),NA(),10*LOG10(Q525*N525^(1/3)*E525^(-4/3)*G525^(-2/3)))</f>
        <v>16.40579944134381</v>
      </c>
      <c r="U525" s="118">
        <f t="shared" ref="U525" si="186">IF(OR(ISNA(T525),F525=""),NA(),10*LOG10(F525^(1/3))-T525)</f>
        <v>-13.937923809696329</v>
      </c>
      <c r="V525" s="118" t="e">
        <f t="shared" ref="V525" si="187">IF(OR(ISNA(T525),S525=""),NA(),10*LOG10(S525^(1/3)*E525*G525^(1/3)/Q525/N525^(2/3)))</f>
        <v>#N/A</v>
      </c>
      <c r="W525" s="118" t="e">
        <f t="shared" ref="W525" si="188">IF(OR(ISNA(V525),F525=""),NA(),V525+10*LOG10(F525^(1/3)))</f>
        <v>#N/A</v>
      </c>
      <c r="X525" s="118">
        <f>IF(OR(N525="",R525=""),NA(),10*LOG10((G525+'CMOS FOM coeff. calculation'!$Q$3)^'CMOS FOM coeff. calculation'!$P$3*(1000*E525)^'CMOS FOM coeff. calculation'!$N$3*R525^'CMOS FOM coeff. calculation'!$O$3*N525^'CMOS FOM coeff. calculation'!$M$3))</f>
        <v>18.142714979912846</v>
      </c>
      <c r="Y525" s="68"/>
      <c r="Z525" s="4" t="s">
        <v>3687</v>
      </c>
    </row>
    <row r="526" spans="1:26">
      <c r="A526" s="2" t="s">
        <v>3624</v>
      </c>
      <c r="B526" s="8" t="s">
        <v>3688</v>
      </c>
      <c r="C526" t="s">
        <v>3689</v>
      </c>
      <c r="D526" t="s">
        <v>3690</v>
      </c>
      <c r="E526" s="1">
        <v>0.04</v>
      </c>
      <c r="F526" s="1">
        <v>15</v>
      </c>
      <c r="G526" s="1">
        <v>220</v>
      </c>
      <c r="H526" s="1">
        <v>-10</v>
      </c>
      <c r="I526" s="1">
        <v>11.5</v>
      </c>
      <c r="J526" s="1">
        <v>-11</v>
      </c>
      <c r="L526" s="1">
        <v>16.2</v>
      </c>
      <c r="M526" s="1">
        <v>0.9</v>
      </c>
      <c r="N526" s="1">
        <v>34.700000000000003</v>
      </c>
      <c r="O526" s="1">
        <v>0.13</v>
      </c>
      <c r="P526" s="1">
        <v>0.57999999999999996</v>
      </c>
      <c r="Q526" s="118">
        <f t="shared" ref="Q526:Q527" si="189">IF(OR(I526="",L526=""),"",(10^(I526/10)-1)*10^(L526/10)/(10^(L526/10)-1))</f>
        <v>13.447969772059498</v>
      </c>
      <c r="R526" s="119">
        <f t="shared" ref="R526:R527" si="190">IF(Q526="","",290*Q526)</f>
        <v>3899.9112338972545</v>
      </c>
      <c r="S526" s="118">
        <f t="shared" ref="S526:S527" si="191">IF(OR(J526="",L526=""),"",10^(J526/10)*(10^(L526/10)-1))</f>
        <v>3.2318783913534812</v>
      </c>
      <c r="T526" s="118">
        <f t="shared" ref="T526:T527" si="192">IF(OR(Q526="",N526="",E526="",G526=""),NA(),10*LOG10(Q526*N526^(1/3)*E526^(-4/3)*G526^(-2/3)))</f>
        <v>19.444047735166883</v>
      </c>
      <c r="U526" s="118">
        <f t="shared" ref="U526:U527" si="193">IF(OR(ISNA(T526),F526=""),NA(),10*LOG10(F526^(1/3))-T526)</f>
        <v>-15.523743538314612</v>
      </c>
      <c r="V526" s="118">
        <f t="shared" ref="V526:V527" si="194">IF(OR(ISNA(T526),S526=""),NA(),10*LOG10(S526^(1/3)*E526*G526^(1/3)/Q526/N526^(2/3)))</f>
        <v>-26.028571522167478</v>
      </c>
      <c r="W526" s="118">
        <f t="shared" ref="W526:W527" si="195">IF(OR(ISNA(V526),F526=""),NA(),V526+10*LOG10(F526^(1/3)))</f>
        <v>-22.108267325315207</v>
      </c>
      <c r="X526" s="118">
        <f>IF(OR(N526="",R526=""),NA(),10*LOG10((G526+'CMOS FOM coeff. calculation'!$Q$3)^'CMOS FOM coeff. calculation'!$P$3*(1000*E526)^'CMOS FOM coeff. calculation'!$N$3*R526^'CMOS FOM coeff. calculation'!$O$3*N526^'CMOS FOM coeff. calculation'!$M$3))</f>
        <v>23.206006305203903</v>
      </c>
      <c r="Y526" s="68"/>
      <c r="Z526" s="4" t="s">
        <v>3691</v>
      </c>
    </row>
    <row r="527" spans="1:26">
      <c r="A527" s="2" t="s">
        <v>3624</v>
      </c>
      <c r="B527" s="8" t="s">
        <v>3693</v>
      </c>
      <c r="C527" t="s">
        <v>3694</v>
      </c>
      <c r="D527" t="s">
        <v>3695</v>
      </c>
      <c r="E527" s="1">
        <v>4.4999999999999998E-2</v>
      </c>
      <c r="F527" s="1">
        <v>4</v>
      </c>
      <c r="G527" s="1">
        <v>39</v>
      </c>
      <c r="H527" s="1">
        <v>-10</v>
      </c>
      <c r="I527" s="1">
        <v>4.5</v>
      </c>
      <c r="J527" s="1">
        <v>-16</v>
      </c>
      <c r="K527" s="1">
        <v>-6.4</v>
      </c>
      <c r="L527" s="1">
        <v>21</v>
      </c>
      <c r="N527" s="1">
        <v>32</v>
      </c>
      <c r="O527" s="1">
        <v>0.375</v>
      </c>
      <c r="Q527" s="118">
        <f t="shared" si="189"/>
        <v>1.8329425111568372</v>
      </c>
      <c r="R527" s="119">
        <f t="shared" si="190"/>
        <v>531.55332823548281</v>
      </c>
      <c r="S527" s="118">
        <f t="shared" si="191"/>
        <v>3.1371587958532823</v>
      </c>
      <c r="T527" s="118">
        <f t="shared" si="192"/>
        <v>14.998724135826482</v>
      </c>
      <c r="U527" s="118">
        <f t="shared" si="193"/>
        <v>-12.991857498066608</v>
      </c>
      <c r="V527" s="118">
        <f t="shared" si="194"/>
        <v>-19.175026125384132</v>
      </c>
      <c r="W527" s="118">
        <f t="shared" si="195"/>
        <v>-17.168159487624258</v>
      </c>
      <c r="X527" s="118">
        <f>IF(OR(N527="",R527=""),NA(),10*LOG10((G527+'CMOS FOM coeff. calculation'!$Q$3)^'CMOS FOM coeff. calculation'!$P$3*(1000*E527)^'CMOS FOM coeff. calculation'!$N$3*R527^'CMOS FOM coeff. calculation'!$O$3*N527^'CMOS FOM coeff. calculation'!$M$3))</f>
        <v>18.550498709850714</v>
      </c>
      <c r="Y527" s="68"/>
      <c r="Z527" s="4" t="s">
        <v>3692</v>
      </c>
    </row>
    <row r="528" spans="1:26">
      <c r="A528" s="2" t="s">
        <v>3624</v>
      </c>
      <c r="B528" s="8" t="s">
        <v>3696</v>
      </c>
      <c r="C528" t="s">
        <v>3697</v>
      </c>
      <c r="D528" t="s">
        <v>3698</v>
      </c>
      <c r="E528" s="1">
        <v>4.4999999999999998E-2</v>
      </c>
      <c r="F528" s="1">
        <v>2.6</v>
      </c>
      <c r="G528" s="1">
        <v>8.1</v>
      </c>
      <c r="H528" s="1">
        <v>-8</v>
      </c>
      <c r="I528" s="1">
        <v>4.8499999999999996</v>
      </c>
      <c r="J528" s="1">
        <v>-42</v>
      </c>
      <c r="L528" s="1">
        <v>36.5</v>
      </c>
      <c r="M528" s="1">
        <v>0.8</v>
      </c>
      <c r="N528" s="1">
        <v>4.28</v>
      </c>
      <c r="P528" s="1">
        <v>0.89</v>
      </c>
      <c r="Q528" s="118">
        <f t="shared" ref="Q528:Q529" si="196">IF(OR(I528="",L528=""),"",(10^(I528/10)-1)*10^(L528/10)/(10^(L528/10)-1))</f>
        <v>2.0553812557620224</v>
      </c>
      <c r="R528" s="119">
        <f t="shared" ref="R528:R529" si="197">IF(Q528="","",290*Q528)</f>
        <v>596.06056417098648</v>
      </c>
      <c r="S528" s="118">
        <f t="shared" ref="S528:S529" si="198">IF(OR(J528="",L528=""),"",10^(J528/10)*(10^(L528/10)-1))</f>
        <v>0.28177519739199736</v>
      </c>
      <c r="T528" s="118">
        <f t="shared" ref="T528:T529" si="199">IF(OR(Q528="",N528="",E528="",G528=""),NA(),10*LOG10(Q528*N528^(1/3)*E528^(-4/3)*G528^(-2/3)))</f>
        <v>17.134336170062156</v>
      </c>
      <c r="U528" s="118">
        <f t="shared" ref="U528:U529" si="200">IF(OR(ISNA(T528),F528=""),NA(),10*LOG10(F528^(1/3))-T528)</f>
        <v>-15.751091676826096</v>
      </c>
      <c r="V528" s="118">
        <f t="shared" ref="V528:V529" si="201">IF(OR(ISNA(T528),S528=""),NA(),10*LOG10(S528^(1/3)*E528*G528^(1/3)/Q528/N528^(2/3)))</f>
        <v>-19.6117979666476</v>
      </c>
      <c r="W528" s="118">
        <f t="shared" ref="W528:W529" si="202">IF(OR(ISNA(V528),F528=""),NA(),V528+10*LOG10(F528^(1/3)))</f>
        <v>-18.228553473411541</v>
      </c>
      <c r="X528" s="118">
        <f>IF(OR(N528="",R528=""),NA(),10*LOG10((G528+'CMOS FOM coeff. calculation'!$Q$3)^'CMOS FOM coeff. calculation'!$P$3*(1000*E528)^'CMOS FOM coeff. calculation'!$N$3*R528^'CMOS FOM coeff. calculation'!$O$3*N528^'CMOS FOM coeff. calculation'!$M$3))</f>
        <v>12.298083813681217</v>
      </c>
      <c r="Y528" s="68"/>
      <c r="Z528" s="4" t="s">
        <v>3699</v>
      </c>
    </row>
    <row r="529" spans="1:27">
      <c r="A529" s="2" t="s">
        <v>3867</v>
      </c>
      <c r="B529" s="8" t="s">
        <v>3868</v>
      </c>
      <c r="C529" t="s">
        <v>3869</v>
      </c>
      <c r="D529" t="s">
        <v>3870</v>
      </c>
      <c r="E529" s="1">
        <v>6.5000000000000002E-2</v>
      </c>
      <c r="F529" s="1">
        <v>4.2</v>
      </c>
      <c r="G529" s="1">
        <v>10.1</v>
      </c>
      <c r="H529" s="1">
        <v>-2</v>
      </c>
      <c r="I529" s="1">
        <v>1.61</v>
      </c>
      <c r="J529" s="1">
        <v>-28.2</v>
      </c>
      <c r="K529" s="1">
        <v>-19</v>
      </c>
      <c r="L529" s="1">
        <v>28.5</v>
      </c>
      <c r="M529" s="1">
        <v>1</v>
      </c>
      <c r="N529" s="1">
        <v>22</v>
      </c>
      <c r="O529" s="1">
        <v>0.187</v>
      </c>
      <c r="Q529" s="118">
        <f t="shared" si="196"/>
        <v>0.44940665732103119</v>
      </c>
      <c r="R529" s="119">
        <f t="shared" si="197"/>
        <v>130.32793062309904</v>
      </c>
      <c r="S529" s="118">
        <f t="shared" si="198"/>
        <v>1.0700057439891708</v>
      </c>
      <c r="T529" s="118">
        <f t="shared" si="199"/>
        <v>10.133483371482212</v>
      </c>
      <c r="U529" s="118">
        <f t="shared" si="200"/>
        <v>-8.055985736822544</v>
      </c>
      <c r="V529" s="118">
        <f t="shared" si="201"/>
        <v>-13.901054378758735</v>
      </c>
      <c r="W529" s="118">
        <f t="shared" si="202"/>
        <v>-11.823556744099067</v>
      </c>
      <c r="X529" s="118">
        <f>IF(OR(N529="",R529=""),NA(),10*LOG10((G529+'CMOS FOM coeff. calculation'!$Q$3)^'CMOS FOM coeff. calculation'!$P$3*(1000*E529)^'CMOS FOM coeff. calculation'!$N$3*R529^'CMOS FOM coeff. calculation'!$O$3*N529^'CMOS FOM coeff. calculation'!$M$3))</f>
        <v>18.682336111453719</v>
      </c>
      <c r="Y529" s="68"/>
      <c r="Z529" s="4" t="s">
        <v>3871</v>
      </c>
    </row>
    <row r="530" spans="1:27">
      <c r="A530" s="2" t="s">
        <v>3867</v>
      </c>
      <c r="B530" s="8" t="s">
        <v>3879</v>
      </c>
      <c r="C530" t="s">
        <v>3880</v>
      </c>
      <c r="D530" t="s">
        <v>3881</v>
      </c>
      <c r="E530" s="1">
        <v>2.8000000000000001E-2</v>
      </c>
      <c r="F530" s="1">
        <v>3.1</v>
      </c>
      <c r="G530" s="1">
        <v>11.05</v>
      </c>
      <c r="H530" s="1">
        <v>-10</v>
      </c>
      <c r="I530" s="1">
        <v>2.75</v>
      </c>
      <c r="J530" s="1">
        <v>-17.100000000000001</v>
      </c>
      <c r="L530" s="1">
        <v>23.2</v>
      </c>
      <c r="M530" s="1">
        <v>1</v>
      </c>
      <c r="N530" s="1">
        <v>27</v>
      </c>
      <c r="O530" s="1">
        <v>0.126</v>
      </c>
      <c r="P530" s="1">
        <v>0.3619</v>
      </c>
      <c r="Q530" s="118">
        <f t="shared" ref="Q530:Q534" si="203">IF(OR(I530="",L530=""),"",(10^(I530/10)-1)*10^(L530/10)/(10^(L530/10)-1))</f>
        <v>0.88789884052996104</v>
      </c>
      <c r="R530" s="119">
        <f t="shared" ref="R530:R534" si="204">IF(Q530="","",290*Q530)</f>
        <v>257.49066375368869</v>
      </c>
      <c r="S530" s="118">
        <f t="shared" ref="S530:S534" si="205">IF(OR(J530="",L530=""),"",10^(J530/10)*(10^(L530/10)-1))</f>
        <v>4.054304332043543</v>
      </c>
      <c r="T530" s="118">
        <f t="shared" ref="T530:T534" si="206">IF(OR(Q530="",N530="",E530="",G530=""),NA(),10*LOG10(Q530*N530^(1/3)*E530^(-4/3)*G530^(-2/3)))</f>
        <v>18.003658497776517</v>
      </c>
      <c r="U530" s="118">
        <f t="shared" ref="U530:U534" si="207">IF(OR(ISNA(T530),F530=""),NA(),10*LOG10(F530^(1/3))-T530)</f>
        <v>-16.365786184995606</v>
      </c>
      <c r="V530" s="118">
        <f t="shared" ref="V530:V534" si="208">IF(OR(ISNA(T530),S530=""),NA(),10*LOG10(S530^(1/3)*E530*G530^(1/3)/Q530/N530^(2/3)))</f>
        <v>-19.050217591404085</v>
      </c>
      <c r="W530" s="118">
        <f t="shared" ref="W530:W534" si="209">IF(OR(ISNA(V530),F530=""),NA(),V530+10*LOG10(F530^(1/3)))</f>
        <v>-17.412345278623174</v>
      </c>
      <c r="X530" s="118">
        <f>IF(OR(N530="",R530=""),NA(),10*LOG10((G530+'CMOS FOM coeff. calculation'!$Q$3)^'CMOS FOM coeff. calculation'!$P$3*(1000*E530)^'CMOS FOM coeff. calculation'!$N$3*R530^'CMOS FOM coeff. calculation'!$O$3*N530^'CMOS FOM coeff. calculation'!$M$3))</f>
        <v>13.615752959325247</v>
      </c>
      <c r="Y530" s="68"/>
      <c r="Z530" s="4" t="s">
        <v>3882</v>
      </c>
    </row>
    <row r="531" spans="1:27">
      <c r="A531" s="2" t="s">
        <v>3867</v>
      </c>
      <c r="B531" s="8" t="s">
        <v>3883</v>
      </c>
      <c r="C531" t="s">
        <v>3804</v>
      </c>
      <c r="D531" t="s">
        <v>3884</v>
      </c>
      <c r="E531" s="1">
        <v>0.04</v>
      </c>
      <c r="F531" s="1">
        <v>20.9</v>
      </c>
      <c r="G531" s="1">
        <v>60.45</v>
      </c>
      <c r="H531" s="1">
        <v>-10</v>
      </c>
      <c r="I531" s="1">
        <v>3.5</v>
      </c>
      <c r="J531" s="1">
        <v>-14.5</v>
      </c>
      <c r="K531" s="1">
        <v>-4.9000000000000004</v>
      </c>
      <c r="L531" s="1">
        <v>23.1</v>
      </c>
      <c r="M531" s="1">
        <v>1.1000000000000001</v>
      </c>
      <c r="N531" s="1">
        <v>33</v>
      </c>
      <c r="O531" s="1">
        <v>7.5999999999999998E-2</v>
      </c>
      <c r="Q531" s="118">
        <f t="shared" si="203"/>
        <v>1.2448179934398953</v>
      </c>
      <c r="R531" s="119">
        <f t="shared" si="204"/>
        <v>360.99721809756966</v>
      </c>
      <c r="S531" s="118">
        <f t="shared" si="205"/>
        <v>7.2088782618265475</v>
      </c>
      <c r="T531" s="118">
        <f t="shared" si="206"/>
        <v>12.775996453341874</v>
      </c>
      <c r="U531" s="118">
        <f t="shared" si="207"/>
        <v>-8.3755088329716934</v>
      </c>
      <c r="V531" s="118">
        <f t="shared" si="208"/>
        <v>-16.256338269539526</v>
      </c>
      <c r="W531" s="118">
        <f t="shared" si="209"/>
        <v>-11.855850649169346</v>
      </c>
      <c r="X531" s="118">
        <f>IF(OR(N531="",R531=""),NA(),10*LOG10((G531+'CMOS FOM coeff. calculation'!$Q$3)^'CMOS FOM coeff. calculation'!$P$3*(1000*E531)^'CMOS FOM coeff. calculation'!$N$3*R531^'CMOS FOM coeff. calculation'!$O$3*N531^'CMOS FOM coeff. calculation'!$M$3))</f>
        <v>22.620453604179922</v>
      </c>
      <c r="Y531" s="68"/>
      <c r="Z531" s="4" t="s">
        <v>3885</v>
      </c>
    </row>
    <row r="532" spans="1:27" ht="17.25">
      <c r="A532" s="2" t="s">
        <v>3867</v>
      </c>
      <c r="B532" s="8" t="s">
        <v>3890</v>
      </c>
      <c r="C532" t="s">
        <v>3766</v>
      </c>
      <c r="D532" t="s">
        <v>3891</v>
      </c>
      <c r="E532" s="1">
        <v>4.4999999999999998E-2</v>
      </c>
      <c r="F532" s="1">
        <v>2</v>
      </c>
      <c r="G532" s="1">
        <v>8</v>
      </c>
      <c r="H532" s="1">
        <v>-10</v>
      </c>
      <c r="I532" s="1">
        <v>4.5</v>
      </c>
      <c r="J532" s="1">
        <v>-22.9</v>
      </c>
      <c r="L532" s="1">
        <v>24.1</v>
      </c>
      <c r="M532" s="1">
        <v>1</v>
      </c>
      <c r="N532" s="1">
        <v>6.5</v>
      </c>
      <c r="O532" s="1">
        <v>0.85</v>
      </c>
      <c r="P532" s="1">
        <v>2</v>
      </c>
      <c r="Q532" s="118">
        <f t="shared" si="203"/>
        <v>1.8254848916078588</v>
      </c>
      <c r="R532" s="119">
        <f t="shared" si="204"/>
        <v>529.39061856627904</v>
      </c>
      <c r="S532" s="118">
        <f t="shared" si="205"/>
        <v>1.3131281247164943</v>
      </c>
      <c r="T532" s="118">
        <f t="shared" si="206"/>
        <v>17.260060187704383</v>
      </c>
      <c r="U532" s="118">
        <f t="shared" si="207"/>
        <v>-16.256626868824444</v>
      </c>
      <c r="V532" s="118">
        <f t="shared" si="208"/>
        <v>-18.096422701747027</v>
      </c>
      <c r="W532" s="118">
        <f t="shared" si="209"/>
        <v>-17.092989382867088</v>
      </c>
      <c r="X532" s="118">
        <f>IF(OR(N532="",R532=""),NA(),10*LOG10((G532+'CMOS FOM coeff. calculation'!$Q$3)^'CMOS FOM coeff. calculation'!$P$3*(1000*E532)^'CMOS FOM coeff. calculation'!$N$3*R532^'CMOS FOM coeff. calculation'!$O$3*N532^'CMOS FOM coeff. calculation'!$M$3))</f>
        <v>12.359734204802692</v>
      </c>
      <c r="Y532" s="68"/>
      <c r="Z532" s="4" t="s">
        <v>3892</v>
      </c>
    </row>
    <row r="533" spans="1:27">
      <c r="A533" s="2" t="s">
        <v>3867</v>
      </c>
      <c r="B533" s="8" t="s">
        <v>3893</v>
      </c>
      <c r="C533" t="s">
        <v>3894</v>
      </c>
      <c r="D533" t="s">
        <v>3895</v>
      </c>
      <c r="E533" s="1">
        <v>0.04</v>
      </c>
      <c r="F533" s="1">
        <v>5.5</v>
      </c>
      <c r="G533" s="1">
        <v>26.75</v>
      </c>
      <c r="H533" s="1">
        <v>-10</v>
      </c>
      <c r="I533" s="1">
        <v>5.2</v>
      </c>
      <c r="J533" s="1">
        <v>-22</v>
      </c>
      <c r="L533" s="1">
        <v>24</v>
      </c>
      <c r="M533" s="1">
        <v>1.1000000000000001</v>
      </c>
      <c r="N533" s="1">
        <v>120</v>
      </c>
      <c r="P533" s="1">
        <v>3.6</v>
      </c>
      <c r="Q533" s="118">
        <f t="shared" si="203"/>
        <v>2.3205494887368157</v>
      </c>
      <c r="R533" s="119">
        <f t="shared" si="204"/>
        <v>672.9593517336765</v>
      </c>
      <c r="S533" s="118">
        <f t="shared" si="205"/>
        <v>1.5785836190163101</v>
      </c>
      <c r="T533" s="118">
        <f t="shared" si="206"/>
        <v>19.710220707557355</v>
      </c>
      <c r="U533" s="118">
        <f t="shared" si="207"/>
        <v>-17.242345075909874</v>
      </c>
      <c r="V533" s="118">
        <f t="shared" si="208"/>
        <v>-26.077878813956868</v>
      </c>
      <c r="W533" s="118">
        <f t="shared" si="209"/>
        <v>-23.610003182309388</v>
      </c>
      <c r="X533" s="118">
        <f>IF(OR(N533="",R533=""),NA(),10*LOG10((G533+'CMOS FOM coeff. calculation'!$Q$3)^'CMOS FOM coeff. calculation'!$P$3*(1000*E533)^'CMOS FOM coeff. calculation'!$N$3*R533^'CMOS FOM coeff. calculation'!$O$3*N533^'CMOS FOM coeff. calculation'!$M$3))</f>
        <v>13.849236075300846</v>
      </c>
      <c r="Y533" s="68"/>
      <c r="Z533" s="4" t="s">
        <v>3896</v>
      </c>
    </row>
    <row r="534" spans="1:27">
      <c r="A534" s="2" t="s">
        <v>3867</v>
      </c>
      <c r="B534" s="8" t="s">
        <v>3901</v>
      </c>
      <c r="C534" t="s">
        <v>3902</v>
      </c>
      <c r="D534" t="s">
        <v>3903</v>
      </c>
      <c r="E534" s="1">
        <v>6.5000000000000002E-2</v>
      </c>
      <c r="F534" s="1">
        <v>4</v>
      </c>
      <c r="G534" s="1">
        <v>88</v>
      </c>
      <c r="I534" s="1">
        <v>7.6</v>
      </c>
      <c r="L534" s="1">
        <v>14.5</v>
      </c>
      <c r="N534" s="1">
        <v>40.799999999999997</v>
      </c>
      <c r="O534" s="1">
        <v>0.11</v>
      </c>
      <c r="P534" s="1">
        <v>0.44800000000000001</v>
      </c>
      <c r="Q534" s="118">
        <f t="shared" si="203"/>
        <v>4.929297446733151</v>
      </c>
      <c r="R534" s="119">
        <f t="shared" si="204"/>
        <v>1429.4962595526138</v>
      </c>
      <c r="S534" s="118" t="str">
        <f t="shared" si="205"/>
        <v/>
      </c>
      <c r="T534" s="118">
        <f t="shared" si="206"/>
        <v>15.161321561526238</v>
      </c>
      <c r="U534" s="118">
        <f t="shared" si="207"/>
        <v>-13.154454923766364</v>
      </c>
      <c r="V534" s="118" t="e">
        <f t="shared" si="208"/>
        <v>#N/A</v>
      </c>
      <c r="W534" s="118" t="e">
        <f t="shared" si="209"/>
        <v>#N/A</v>
      </c>
      <c r="X534" s="118">
        <f>IF(OR(N534="",R534=""),NA(),10*LOG10((G534+'CMOS FOM coeff. calculation'!$Q$3)^'CMOS FOM coeff. calculation'!$P$3*(1000*E534)^'CMOS FOM coeff. calculation'!$N$3*R534^'CMOS FOM coeff. calculation'!$O$3*N534^'CMOS FOM coeff. calculation'!$M$3))</f>
        <v>21.26144387648425</v>
      </c>
      <c r="Y534" s="68"/>
      <c r="Z534" s="4" t="s">
        <v>3904</v>
      </c>
    </row>
    <row r="535" spans="1:27">
      <c r="A535" s="2"/>
      <c r="B535" s="8"/>
      <c r="Q535" s="118"/>
      <c r="X535" s="118"/>
      <c r="Y535" s="68"/>
      <c r="Z535" s="4"/>
    </row>
    <row r="536" spans="1:27">
      <c r="A536" s="46" t="s">
        <v>3324</v>
      </c>
      <c r="B536" s="46"/>
      <c r="C536" s="46"/>
      <c r="D536" s="46"/>
      <c r="E536" s="93"/>
      <c r="F536" s="93"/>
      <c r="G536" s="93"/>
      <c r="H536" s="93"/>
      <c r="I536" s="93"/>
      <c r="J536" s="93"/>
      <c r="K536" s="93"/>
      <c r="L536" s="93"/>
      <c r="M536" s="93"/>
      <c r="N536" s="93"/>
      <c r="O536" s="93"/>
      <c r="P536" s="93"/>
      <c r="Q536" s="125"/>
      <c r="R536" s="125"/>
      <c r="S536" s="125"/>
      <c r="T536" s="125"/>
      <c r="U536" s="125"/>
      <c r="V536" s="125"/>
      <c r="W536" s="125"/>
      <c r="X536" s="125"/>
      <c r="Y536" s="46"/>
      <c r="Z536" s="46"/>
    </row>
    <row r="537" spans="1:27">
      <c r="A537" t="s">
        <v>1373</v>
      </c>
      <c r="B537" s="8" t="s">
        <v>1372</v>
      </c>
      <c r="C537" t="s">
        <v>1374</v>
      </c>
      <c r="D537" s="7" t="s">
        <v>1371</v>
      </c>
      <c r="E537" s="1">
        <v>0.18</v>
      </c>
      <c r="F537" s="1">
        <v>0.1</v>
      </c>
      <c r="G537" s="1">
        <v>5.7750000000000004</v>
      </c>
      <c r="H537" s="1">
        <v>-15</v>
      </c>
      <c r="I537" s="1">
        <v>3.7</v>
      </c>
      <c r="J537" s="1">
        <v>-11</v>
      </c>
      <c r="K537" s="1">
        <v>-0.45</v>
      </c>
      <c r="L537" s="1">
        <v>12.5</v>
      </c>
      <c r="M537" s="1">
        <v>1.8</v>
      </c>
      <c r="N537" s="1">
        <v>14.4</v>
      </c>
      <c r="Q537" s="118">
        <f t="shared" si="147"/>
        <v>1.424324466096496</v>
      </c>
      <c r="R537" s="119">
        <f t="shared" si="148"/>
        <v>413.05409516798386</v>
      </c>
      <c r="S537" s="118">
        <f t="shared" si="149"/>
        <v>1.3331047211503257</v>
      </c>
      <c r="T537" s="118">
        <f t="shared" si="150"/>
        <v>10.249984325582295</v>
      </c>
      <c r="U537" s="118">
        <f t="shared" si="151"/>
        <v>-13.583317658915627</v>
      </c>
      <c r="V537" s="118">
        <f t="shared" si="152"/>
        <v>-13.75106005656928</v>
      </c>
      <c r="W537" s="118">
        <f t="shared" si="153"/>
        <v>-17.084393389902612</v>
      </c>
      <c r="X537" s="118">
        <f>IF(OR(N537="",R537=""),NA(),10*LOG10((G537+'CMOS FOM coeff. calculation'!$Q$3)^'CMOS FOM coeff. calculation'!$P$3*(1000*E537)^'CMOS FOM coeff. calculation'!$N$3*R537^'CMOS FOM coeff. calculation'!$O$3*N537^'CMOS FOM coeff. calculation'!$M$3))</f>
        <v>15.935855920799538</v>
      </c>
      <c r="Y537" s="68"/>
      <c r="Z537" t="s">
        <v>2143</v>
      </c>
      <c r="AA537" s="3" t="s">
        <v>5</v>
      </c>
    </row>
    <row r="538" spans="1:27">
      <c r="A538" t="s">
        <v>1377</v>
      </c>
      <c r="B538" s="8" t="s">
        <v>1376</v>
      </c>
      <c r="C538" t="s">
        <v>1378</v>
      </c>
      <c r="D538" s="7" t="s">
        <v>1375</v>
      </c>
      <c r="E538" s="1">
        <v>0.18</v>
      </c>
      <c r="F538" s="1">
        <v>3.5</v>
      </c>
      <c r="G538" s="1">
        <v>23.25</v>
      </c>
      <c r="H538" s="1">
        <v>-11</v>
      </c>
      <c r="I538" s="1">
        <v>5.6</v>
      </c>
      <c r="J538" s="1">
        <v>-11.1</v>
      </c>
      <c r="K538" s="1">
        <v>2.04</v>
      </c>
      <c r="L538" s="1">
        <v>12.86</v>
      </c>
      <c r="M538" s="1">
        <v>1.8</v>
      </c>
      <c r="N538" s="1">
        <v>54</v>
      </c>
      <c r="P538" s="1">
        <v>0.73499999999999999</v>
      </c>
      <c r="Q538" s="118">
        <f t="shared" si="147"/>
        <v>2.7743845894993364</v>
      </c>
      <c r="R538" s="119">
        <f t="shared" si="148"/>
        <v>804.5715309548076</v>
      </c>
      <c r="S538" s="118">
        <f t="shared" si="149"/>
        <v>1.4220601238395048</v>
      </c>
      <c r="T538" s="118">
        <f t="shared" si="150"/>
        <v>11.026526051383103</v>
      </c>
      <c r="U538" s="118">
        <f t="shared" si="151"/>
        <v>-9.2129659035488505</v>
      </c>
      <c r="V538" s="118">
        <f t="shared" si="152"/>
        <v>-18.363763596926599</v>
      </c>
      <c r="W538" s="118">
        <f t="shared" si="153"/>
        <v>-16.550203449092347</v>
      </c>
      <c r="X538" s="118">
        <f>IF(OR(N538="",R538=""),NA(),10*LOG10((G538+'CMOS FOM coeff. calculation'!$Q$3)^'CMOS FOM coeff. calculation'!$P$3*(1000*E538)^'CMOS FOM coeff. calculation'!$N$3*R538^'CMOS FOM coeff. calculation'!$O$3*N538^'CMOS FOM coeff. calculation'!$M$3))</f>
        <v>17.641074504324909</v>
      </c>
      <c r="Y538" s="68"/>
      <c r="Z538" t="s">
        <v>2144</v>
      </c>
      <c r="AA538" s="3" t="s">
        <v>1100</v>
      </c>
    </row>
    <row r="539" spans="1:27">
      <c r="E539" s="1">
        <v>0.18</v>
      </c>
      <c r="F539" s="1">
        <v>4.8</v>
      </c>
      <c r="G539" s="1">
        <v>25.25</v>
      </c>
      <c r="H539" s="1">
        <v>-14</v>
      </c>
      <c r="I539" s="1">
        <v>6.93</v>
      </c>
      <c r="J539" s="1">
        <v>-10.199999999999999</v>
      </c>
      <c r="K539" s="1">
        <v>2.8</v>
      </c>
      <c r="L539" s="1">
        <v>8.9</v>
      </c>
      <c r="M539" s="1">
        <v>1.8</v>
      </c>
      <c r="N539" s="1">
        <v>54</v>
      </c>
      <c r="P539" s="1">
        <v>0.73499999999999999</v>
      </c>
      <c r="Q539" s="118">
        <f t="shared" si="147"/>
        <v>4.5131435557976687</v>
      </c>
      <c r="R539" s="119">
        <f t="shared" si="148"/>
        <v>1308.8116311813239</v>
      </c>
      <c r="S539" s="118">
        <f t="shared" si="149"/>
        <v>0.64581098269877391</v>
      </c>
      <c r="T539" s="118">
        <f t="shared" si="150"/>
        <v>12.900728061117594</v>
      </c>
      <c r="U539" s="118">
        <f t="shared" si="151"/>
        <v>-10.629923936532304</v>
      </c>
      <c r="V539" s="118">
        <f t="shared" si="152"/>
        <v>-21.500135464451041</v>
      </c>
      <c r="W539" s="118">
        <f t="shared" si="153"/>
        <v>-19.229331339865752</v>
      </c>
      <c r="X539" s="118">
        <f>IF(OR(N539="",R539=""),NA(),10*LOG10((G539+'CMOS FOM coeff. calculation'!$Q$3)^'CMOS FOM coeff. calculation'!$P$3*(1000*E539)^'CMOS FOM coeff. calculation'!$N$3*R539^'CMOS FOM coeff. calculation'!$O$3*N539^'CMOS FOM coeff. calculation'!$M$3))</f>
        <v>16.1911658543907</v>
      </c>
      <c r="Y539" s="68"/>
    </row>
    <row r="540" spans="1:27">
      <c r="A540" t="s">
        <v>1391</v>
      </c>
      <c r="B540" s="8" t="s">
        <v>2059</v>
      </c>
      <c r="C540" t="s">
        <v>2060</v>
      </c>
      <c r="D540" s="7" t="s">
        <v>2061</v>
      </c>
      <c r="E540" s="1">
        <v>0.35</v>
      </c>
      <c r="F540" s="1">
        <v>0.05</v>
      </c>
      <c r="G540" s="1">
        <v>0.95</v>
      </c>
      <c r="H540" s="1">
        <v>-14</v>
      </c>
      <c r="I540" s="1">
        <v>3.4</v>
      </c>
      <c r="K540" s="1">
        <v>-5.0999999999999996</v>
      </c>
      <c r="L540" s="1">
        <v>17</v>
      </c>
      <c r="M540" s="1">
        <v>2.2999999999999998</v>
      </c>
      <c r="N540" s="1">
        <v>12.88</v>
      </c>
      <c r="O540" s="1">
        <v>0.35</v>
      </c>
      <c r="Q540" s="118">
        <f t="shared" si="147"/>
        <v>1.2119430672492548</v>
      </c>
      <c r="R540" s="119">
        <f t="shared" si="148"/>
        <v>351.46348950228389</v>
      </c>
      <c r="S540" s="118" t="str">
        <f t="shared" si="149"/>
        <v/>
      </c>
      <c r="T540" s="118">
        <f t="shared" si="150"/>
        <v>10.762143770562902</v>
      </c>
      <c r="U540" s="118">
        <f t="shared" si="151"/>
        <v>-15.098910422776171</v>
      </c>
      <c r="V540" s="118" t="e">
        <f t="shared" si="152"/>
        <v>#N/A</v>
      </c>
      <c r="W540" s="118" t="e">
        <f t="shared" si="153"/>
        <v>#N/A</v>
      </c>
      <c r="X540" s="118">
        <f>IF(OR(N540="",R540=""),NA(),10*LOG10((G540+'CMOS FOM coeff. calculation'!$Q$3)^'CMOS FOM coeff. calculation'!$P$3*(1000*E540)^'CMOS FOM coeff. calculation'!$N$3*R540^'CMOS FOM coeff. calculation'!$O$3*N540^'CMOS FOM coeff. calculation'!$M$3))</f>
        <v>16.283975291708582</v>
      </c>
      <c r="Y540" s="68"/>
      <c r="Z540" t="s">
        <v>2145</v>
      </c>
      <c r="AA540" s="3" t="s">
        <v>5</v>
      </c>
    </row>
    <row r="541" spans="1:27">
      <c r="A541" t="s">
        <v>470</v>
      </c>
      <c r="B541" s="8" t="s">
        <v>1405</v>
      </c>
      <c r="C541" t="s">
        <v>1406</v>
      </c>
      <c r="D541" s="7" t="s">
        <v>1404</v>
      </c>
      <c r="E541" s="1">
        <v>0.18</v>
      </c>
      <c r="F541" s="1">
        <v>2.5</v>
      </c>
      <c r="G541" s="1">
        <v>24.25</v>
      </c>
      <c r="H541" s="1">
        <v>-10</v>
      </c>
      <c r="I541" s="1">
        <v>3.9</v>
      </c>
      <c r="J541" s="1">
        <v>-12.2</v>
      </c>
      <c r="K541" s="1">
        <v>0.54</v>
      </c>
      <c r="L541" s="1">
        <v>13.1</v>
      </c>
      <c r="M541" s="1">
        <v>1</v>
      </c>
      <c r="N541" s="1">
        <v>14</v>
      </c>
      <c r="O541" s="1">
        <v>0.16</v>
      </c>
      <c r="P541" s="1">
        <v>0.34</v>
      </c>
      <c r="Q541" s="118">
        <f t="shared" si="147"/>
        <v>1.5296267963227606</v>
      </c>
      <c r="R541" s="119">
        <f t="shared" si="148"/>
        <v>443.59177093360057</v>
      </c>
      <c r="S541" s="118">
        <f t="shared" si="149"/>
        <v>1.1700128122049456</v>
      </c>
      <c r="T541" s="118">
        <f t="shared" si="150"/>
        <v>6.3645699285655812</v>
      </c>
      <c r="U541" s="118">
        <f t="shared" si="151"/>
        <v>-5.038103232992122</v>
      </c>
      <c r="V541" s="118">
        <f t="shared" si="152"/>
        <v>-12.090975482610437</v>
      </c>
      <c r="W541" s="118">
        <f t="shared" si="153"/>
        <v>-10.764508787036977</v>
      </c>
      <c r="X541" s="118">
        <f>IF(OR(N541="",R541=""),NA(),10*LOG10((G541+'CMOS FOM coeff. calculation'!$Q$3)^'CMOS FOM coeff. calculation'!$P$3*(1000*E541)^'CMOS FOM coeff. calculation'!$N$3*R541^'CMOS FOM coeff. calculation'!$O$3*N541^'CMOS FOM coeff. calculation'!$M$3))</f>
        <v>21.369727018481385</v>
      </c>
      <c r="Y541" s="68"/>
      <c r="Z541" t="s">
        <v>2146</v>
      </c>
      <c r="AA541" s="3" t="s">
        <v>5</v>
      </c>
    </row>
    <row r="542" spans="1:27">
      <c r="A542" t="s">
        <v>1410</v>
      </c>
      <c r="B542" s="8" t="s">
        <v>1408</v>
      </c>
      <c r="C542" t="s">
        <v>1409</v>
      </c>
      <c r="D542" s="7" t="s">
        <v>1407</v>
      </c>
      <c r="E542" s="1">
        <v>0.13</v>
      </c>
      <c r="F542" s="1">
        <v>4.5</v>
      </c>
      <c r="G542" s="1">
        <v>20.75</v>
      </c>
      <c r="H542" s="1">
        <v>-8</v>
      </c>
      <c r="I542" s="1">
        <v>5.5</v>
      </c>
      <c r="J542" s="1">
        <v>-11</v>
      </c>
      <c r="K542" s="1">
        <v>-4</v>
      </c>
      <c r="L542" s="1">
        <v>20</v>
      </c>
      <c r="M542" s="1">
        <v>1.2</v>
      </c>
      <c r="N542" s="1">
        <v>24</v>
      </c>
      <c r="O542" s="1">
        <v>0.36</v>
      </c>
      <c r="P542" s="1">
        <v>1</v>
      </c>
      <c r="Q542" s="118">
        <f t="shared" si="147"/>
        <v>2.5738726185209653</v>
      </c>
      <c r="R542" s="119">
        <f t="shared" si="148"/>
        <v>746.42305937107994</v>
      </c>
      <c r="S542" s="118">
        <f t="shared" si="149"/>
        <v>7.8638495237703818</v>
      </c>
      <c r="T542" s="118">
        <f t="shared" si="150"/>
        <v>11.740542599073695</v>
      </c>
      <c r="U542" s="118">
        <f t="shared" si="151"/>
        <v>-9.563167553155882</v>
      </c>
      <c r="V542" s="118">
        <f t="shared" si="152"/>
        <v>-14.79233426730371</v>
      </c>
      <c r="W542" s="118">
        <f t="shared" si="153"/>
        <v>-12.614959221385899</v>
      </c>
      <c r="X542" s="118">
        <f>IF(OR(N542="",R542=""),NA(),10*LOG10((G542+'CMOS FOM coeff. calculation'!$Q$3)^'CMOS FOM coeff. calculation'!$P$3*(1000*E542)^'CMOS FOM coeff. calculation'!$N$3*R542^'CMOS FOM coeff. calculation'!$O$3*N542^'CMOS FOM coeff. calculation'!$M$3))</f>
        <v>17.049259155265826</v>
      </c>
      <c r="Y542" s="68"/>
      <c r="Z542" t="s">
        <v>2147</v>
      </c>
      <c r="AA542" s="3" t="s">
        <v>5</v>
      </c>
    </row>
    <row r="543" spans="1:27">
      <c r="A543" t="s">
        <v>1422</v>
      </c>
      <c r="B543" s="8" t="s">
        <v>1411</v>
      </c>
      <c r="C543" t="s">
        <v>1413</v>
      </c>
      <c r="D543" s="7" t="s">
        <v>1412</v>
      </c>
      <c r="E543" s="1">
        <v>0.18</v>
      </c>
      <c r="F543" s="1">
        <v>0.6</v>
      </c>
      <c r="G543" s="1">
        <v>2.4</v>
      </c>
      <c r="H543" s="1">
        <v>-10.1</v>
      </c>
      <c r="I543" s="1">
        <v>2.9</v>
      </c>
      <c r="J543" s="1">
        <v>-7</v>
      </c>
      <c r="K543" s="1">
        <v>4</v>
      </c>
      <c r="L543" s="1">
        <v>10.1</v>
      </c>
      <c r="M543" s="1">
        <v>1.8</v>
      </c>
      <c r="N543" s="1">
        <v>11.7</v>
      </c>
      <c r="Q543" s="118">
        <f t="shared" si="147"/>
        <v>1.0527203507600866</v>
      </c>
      <c r="R543" s="119">
        <f t="shared" si="148"/>
        <v>305.28890172042514</v>
      </c>
      <c r="S543" s="118">
        <f t="shared" si="149"/>
        <v>1.8422117131726414</v>
      </c>
      <c r="T543" s="118">
        <f t="shared" si="150"/>
        <v>11.178708045897675</v>
      </c>
      <c r="U543" s="118">
        <f t="shared" si="151"/>
        <v>-11.918203877952196</v>
      </c>
      <c r="V543" s="118">
        <f t="shared" si="152"/>
        <v>-12.639808276724299</v>
      </c>
      <c r="W543" s="118">
        <f t="shared" si="153"/>
        <v>-13.37930410877882</v>
      </c>
      <c r="X543" s="118">
        <f>IF(OR(N543="",R543=""),NA(),10*LOG10((G543+'CMOS FOM coeff. calculation'!$Q$3)^'CMOS FOM coeff. calculation'!$P$3*(1000*E543)^'CMOS FOM coeff. calculation'!$N$3*R543^'CMOS FOM coeff. calculation'!$O$3*N543^'CMOS FOM coeff. calculation'!$M$3))</f>
        <v>15.690298424362579</v>
      </c>
      <c r="Y543" s="68"/>
      <c r="Z543" t="s">
        <v>2148</v>
      </c>
      <c r="AA543" s="3" t="s">
        <v>361</v>
      </c>
    </row>
    <row r="544" spans="1:27">
      <c r="E544" s="1">
        <v>0.18</v>
      </c>
      <c r="F544" s="1">
        <v>0.5</v>
      </c>
      <c r="G544" s="1">
        <v>5.2</v>
      </c>
      <c r="H544" s="1">
        <v>-11.1</v>
      </c>
      <c r="I544" s="1">
        <v>3.7</v>
      </c>
      <c r="J544" s="1">
        <v>-16</v>
      </c>
      <c r="K544" s="1">
        <v>-5</v>
      </c>
      <c r="L544" s="1">
        <v>10.9</v>
      </c>
      <c r="M544" s="1">
        <v>1.8</v>
      </c>
      <c r="N544" s="1">
        <v>5.7</v>
      </c>
      <c r="Q544" s="118">
        <f t="shared" si="147"/>
        <v>1.4631588300237481</v>
      </c>
      <c r="R544" s="119">
        <f t="shared" si="148"/>
        <v>424.31606070688696</v>
      </c>
      <c r="S544" s="118">
        <f t="shared" si="149"/>
        <v>0.28391067893626309</v>
      </c>
      <c r="T544" s="118">
        <f t="shared" si="150"/>
        <v>9.3288418857354589</v>
      </c>
      <c r="U544" s="118">
        <f t="shared" si="151"/>
        <v>-10.332275204615396</v>
      </c>
      <c r="V544" s="118">
        <f t="shared" si="152"/>
        <v>-13.575405139559686</v>
      </c>
      <c r="W544" s="118">
        <f t="shared" si="153"/>
        <v>-14.578838458439623</v>
      </c>
      <c r="X544" s="118">
        <f>IF(OR(N544="",R544=""),NA(),10*LOG10((G544+'CMOS FOM coeff. calculation'!$Q$3)^'CMOS FOM coeff. calculation'!$P$3*(1000*E544)^'CMOS FOM coeff. calculation'!$N$3*R544^'CMOS FOM coeff. calculation'!$O$3*N544^'CMOS FOM coeff. calculation'!$M$3))</f>
        <v>16.381987188699167</v>
      </c>
      <c r="Y544" s="68"/>
    </row>
    <row r="545" spans="1:27">
      <c r="A545" t="s">
        <v>1420</v>
      </c>
      <c r="B545" s="8" t="s">
        <v>1419</v>
      </c>
      <c r="C545" t="s">
        <v>1421</v>
      </c>
      <c r="D545" s="7" t="s">
        <v>1418</v>
      </c>
      <c r="E545" s="1">
        <v>0.13</v>
      </c>
      <c r="F545" s="1">
        <v>2.7</v>
      </c>
      <c r="G545" s="1">
        <v>3.15</v>
      </c>
      <c r="H545" s="1">
        <v>-10</v>
      </c>
      <c r="I545" s="1">
        <v>3.5</v>
      </c>
      <c r="J545" s="1">
        <v>-6</v>
      </c>
      <c r="K545" s="1">
        <v>-0.8</v>
      </c>
      <c r="L545" s="1">
        <v>9.5</v>
      </c>
      <c r="M545" s="1">
        <v>1.5</v>
      </c>
      <c r="N545" s="1">
        <v>16.5</v>
      </c>
      <c r="P545" s="1">
        <v>1.08</v>
      </c>
      <c r="Q545" s="118">
        <f t="shared" si="147"/>
        <v>1.3952733875287011</v>
      </c>
      <c r="R545" s="119">
        <f t="shared" si="148"/>
        <v>404.6292823833233</v>
      </c>
      <c r="S545" s="118">
        <f t="shared" si="149"/>
        <v>1.9875324954173823</v>
      </c>
      <c r="T545" s="118">
        <f t="shared" si="150"/>
        <v>13.996891200159611</v>
      </c>
      <c r="U545" s="118">
        <f t="shared" si="151"/>
        <v>-12.559011986296319</v>
      </c>
      <c r="V545" s="118">
        <f t="shared" si="152"/>
        <v>-15.768303241394515</v>
      </c>
      <c r="W545" s="118">
        <f t="shared" si="153"/>
        <v>-14.330424027531222</v>
      </c>
      <c r="X545" s="118">
        <f>IF(OR(N545="",R545=""),NA(),10*LOG10((G545+'CMOS FOM coeff. calculation'!$Q$3)^'CMOS FOM coeff. calculation'!$P$3*(1000*E545)^'CMOS FOM coeff. calculation'!$N$3*R545^'CMOS FOM coeff. calculation'!$O$3*N545^'CMOS FOM coeff. calculation'!$M$3))</f>
        <v>13.685109381245713</v>
      </c>
      <c r="Y545" s="68"/>
      <c r="Z545" t="s">
        <v>2149</v>
      </c>
      <c r="AA545" s="3" t="s">
        <v>5</v>
      </c>
    </row>
    <row r="546" spans="1:27">
      <c r="A546" t="s">
        <v>1425</v>
      </c>
      <c r="B546" s="8" t="s">
        <v>1423</v>
      </c>
      <c r="C546" t="s">
        <v>1426</v>
      </c>
      <c r="D546" s="7" t="s">
        <v>1424</v>
      </c>
      <c r="E546" s="1">
        <v>0.18</v>
      </c>
      <c r="F546" s="1">
        <v>0.7</v>
      </c>
      <c r="G546" s="1">
        <v>5.75</v>
      </c>
      <c r="H546" s="1">
        <v>-10</v>
      </c>
      <c r="I546" s="1">
        <v>2.5</v>
      </c>
      <c r="J546" s="1">
        <v>-8</v>
      </c>
      <c r="L546" s="1">
        <v>11.45</v>
      </c>
      <c r="M546" s="1">
        <v>1.8</v>
      </c>
      <c r="N546" s="1">
        <v>3.96</v>
      </c>
      <c r="P546" s="1">
        <v>0.85499999999999998</v>
      </c>
      <c r="Q546" s="118">
        <f t="shared" si="147"/>
        <v>0.83831476985015652</v>
      </c>
      <c r="R546" s="119">
        <f t="shared" si="148"/>
        <v>243.11128325654539</v>
      </c>
      <c r="S546" s="118">
        <f t="shared" si="149"/>
        <v>2.0546053903595265</v>
      </c>
      <c r="T546" s="118">
        <f t="shared" si="150"/>
        <v>6.0916360988851093</v>
      </c>
      <c r="U546" s="118">
        <f t="shared" si="151"/>
        <v>-6.6079759655042531</v>
      </c>
      <c r="V546" s="118">
        <f t="shared" si="152"/>
        <v>-7.0913264740372313</v>
      </c>
      <c r="W546" s="118">
        <f t="shared" si="153"/>
        <v>-7.6076663406563751</v>
      </c>
      <c r="X546" s="118">
        <f>IF(OR(N546="",R546=""),NA(),10*LOG10((G546+'CMOS FOM coeff. calculation'!$Q$3)^'CMOS FOM coeff. calculation'!$P$3*(1000*E546)^'CMOS FOM coeff. calculation'!$N$3*R546^'CMOS FOM coeff. calculation'!$O$3*N546^'CMOS FOM coeff. calculation'!$M$3))</f>
        <v>19.118129122639335</v>
      </c>
      <c r="Y546" s="68"/>
      <c r="Z546" t="s">
        <v>2150</v>
      </c>
      <c r="AA546" s="3" t="s">
        <v>5</v>
      </c>
    </row>
    <row r="547" spans="1:27">
      <c r="A547" t="s">
        <v>1425</v>
      </c>
      <c r="B547" s="8" t="s">
        <v>1428</v>
      </c>
      <c r="C547" t="s">
        <v>853</v>
      </c>
      <c r="D547" s="7" t="s">
        <v>1427</v>
      </c>
      <c r="E547" s="1">
        <v>0.18</v>
      </c>
      <c r="G547" s="1">
        <v>2</v>
      </c>
      <c r="I547" s="1">
        <v>1.4</v>
      </c>
      <c r="K547" s="1">
        <v>13.3</v>
      </c>
      <c r="L547" s="1">
        <v>12.8</v>
      </c>
      <c r="M547" s="1">
        <v>1.8</v>
      </c>
      <c r="N547" s="1">
        <v>14.4</v>
      </c>
      <c r="Q547" s="118">
        <f t="shared" si="147"/>
        <v>0.40145280743066775</v>
      </c>
      <c r="R547" s="119">
        <f t="shared" si="148"/>
        <v>116.42131415489365</v>
      </c>
      <c r="S547" s="118" t="str">
        <f t="shared" si="149"/>
        <v/>
      </c>
      <c r="T547" s="118">
        <f t="shared" si="150"/>
        <v>7.8203865947850462</v>
      </c>
      <c r="U547" s="118" t="e">
        <f t="shared" si="151"/>
        <v>#N/A</v>
      </c>
      <c r="V547" s="118" t="e">
        <f t="shared" si="152"/>
        <v>#N/A</v>
      </c>
      <c r="W547" s="118" t="e">
        <f t="shared" si="153"/>
        <v>#N/A</v>
      </c>
      <c r="X547" s="118">
        <f>IF(OR(N547="",R547=""),NA(),10*LOG10((G547+'CMOS FOM coeff. calculation'!$Q$3)^'CMOS FOM coeff. calculation'!$P$3*(1000*E547)^'CMOS FOM coeff. calculation'!$N$3*R547^'CMOS FOM coeff. calculation'!$O$3*N547^'CMOS FOM coeff. calculation'!$M$3))</f>
        <v>19.066190367050304</v>
      </c>
      <c r="Y547" s="68"/>
      <c r="Z547" t="s">
        <v>2151</v>
      </c>
      <c r="AA547" s="3" t="s">
        <v>5</v>
      </c>
    </row>
    <row r="548" spans="1:27">
      <c r="A548" t="s">
        <v>1432</v>
      </c>
      <c r="B548" s="8" t="s">
        <v>1430</v>
      </c>
      <c r="C548" t="s">
        <v>1431</v>
      </c>
      <c r="D548" s="7" t="s">
        <v>1429</v>
      </c>
      <c r="E548" s="1">
        <v>0.13</v>
      </c>
      <c r="F548" s="1">
        <v>3</v>
      </c>
      <c r="G548" s="1">
        <v>40.5</v>
      </c>
      <c r="H548" s="1">
        <v>-10</v>
      </c>
      <c r="I548" s="1">
        <v>6.3</v>
      </c>
      <c r="J548" s="1">
        <v>-15</v>
      </c>
      <c r="K548" s="1">
        <v>-5.5</v>
      </c>
      <c r="L548" s="1">
        <v>20</v>
      </c>
      <c r="M548" s="1">
        <v>1.5</v>
      </c>
      <c r="N548" s="1">
        <v>36</v>
      </c>
      <c r="P548" s="1">
        <v>0.52500000000000002</v>
      </c>
      <c r="Q548" s="118">
        <f t="shared" si="147"/>
        <v>3.2987830181979061</v>
      </c>
      <c r="R548" s="119">
        <f t="shared" si="148"/>
        <v>956.64707527739279</v>
      </c>
      <c r="S548" s="118">
        <f t="shared" si="149"/>
        <v>3.1306548835666947</v>
      </c>
      <c r="T548" s="118">
        <f t="shared" si="150"/>
        <v>11.468934318962145</v>
      </c>
      <c r="U548" s="118">
        <f t="shared" si="151"/>
        <v>-9.8785301365632705</v>
      </c>
      <c r="V548" s="118">
        <f t="shared" si="152"/>
        <v>-17.409153257932953</v>
      </c>
      <c r="W548" s="118">
        <f t="shared" si="153"/>
        <v>-15.818749075534079</v>
      </c>
      <c r="X548" s="118">
        <f>IF(OR(N548="",R548=""),NA(),10*LOG10((G548+'CMOS FOM coeff. calculation'!$Q$3)^'CMOS FOM coeff. calculation'!$P$3*(1000*E548)^'CMOS FOM coeff. calculation'!$N$3*R548^'CMOS FOM coeff. calculation'!$O$3*N548^'CMOS FOM coeff. calculation'!$M$3))</f>
        <v>19.617979258457169</v>
      </c>
      <c r="Y548" s="68"/>
      <c r="Z548" t="s">
        <v>2152</v>
      </c>
      <c r="AA548" s="3" t="s">
        <v>5</v>
      </c>
    </row>
    <row r="549" spans="1:27">
      <c r="A549" t="s">
        <v>1443</v>
      </c>
      <c r="B549" s="8" t="s">
        <v>1441</v>
      </c>
      <c r="C549" t="s">
        <v>1442</v>
      </c>
      <c r="D549" s="7" t="s">
        <v>1440</v>
      </c>
      <c r="E549" s="1">
        <v>0.09</v>
      </c>
      <c r="F549" s="1">
        <v>0.2</v>
      </c>
      <c r="G549" s="1">
        <v>2.4</v>
      </c>
      <c r="H549" s="1">
        <v>-12.66</v>
      </c>
      <c r="I549" s="1">
        <v>2.56</v>
      </c>
      <c r="K549" s="1">
        <v>-10.83</v>
      </c>
      <c r="L549" s="1">
        <v>22.1</v>
      </c>
      <c r="M549" s="1">
        <v>1</v>
      </c>
      <c r="N549" s="1">
        <v>12.9</v>
      </c>
      <c r="P549" s="1">
        <v>1.44</v>
      </c>
      <c r="Q549" s="118">
        <f t="shared" si="147"/>
        <v>0.8079998274104313</v>
      </c>
      <c r="R549" s="119">
        <f t="shared" si="148"/>
        <v>234.31994994902507</v>
      </c>
      <c r="S549" s="118" t="str">
        <f t="shared" si="149"/>
        <v/>
      </c>
      <c r="T549" s="118">
        <f t="shared" si="150"/>
        <v>14.184769977151078</v>
      </c>
      <c r="U549" s="118">
        <f t="shared" si="151"/>
        <v>-16.514669991604475</v>
      </c>
      <c r="V549" s="118" t="e">
        <f t="shared" si="152"/>
        <v>#N/A</v>
      </c>
      <c r="W549" s="118" t="e">
        <f t="shared" si="153"/>
        <v>#N/A</v>
      </c>
      <c r="X549" s="118">
        <f>IF(OR(N549="",R549=""),NA(),10*LOG10((G549+'CMOS FOM coeff. calculation'!$Q$3)^'CMOS FOM coeff. calculation'!$P$3*(1000*E549)^'CMOS FOM coeff. calculation'!$N$3*R549^'CMOS FOM coeff. calculation'!$O$3*N549^'CMOS FOM coeff. calculation'!$M$3))</f>
        <v>14.532396513107514</v>
      </c>
      <c r="Y549" s="68"/>
      <c r="Z549" t="s">
        <v>2153</v>
      </c>
      <c r="AA549" s="3" t="s">
        <v>1444</v>
      </c>
    </row>
    <row r="550" spans="1:27">
      <c r="E550" s="1">
        <v>0.09</v>
      </c>
      <c r="F550" s="1">
        <v>0.2</v>
      </c>
      <c r="G550" s="1">
        <v>2.4</v>
      </c>
      <c r="H550" s="1">
        <v>-11</v>
      </c>
      <c r="I550" s="1">
        <v>3.2</v>
      </c>
      <c r="K550" s="1">
        <v>-11.01</v>
      </c>
      <c r="L550" s="1">
        <v>21.9</v>
      </c>
      <c r="M550" s="1">
        <v>1</v>
      </c>
      <c r="N550" s="1">
        <v>12.9</v>
      </c>
      <c r="P550" s="1">
        <v>1.44</v>
      </c>
      <c r="Q550" s="118">
        <f t="shared" si="147"/>
        <v>1.0963749219033843</v>
      </c>
      <c r="R550" s="119">
        <f t="shared" si="148"/>
        <v>317.94872735198146</v>
      </c>
      <c r="S550" s="118" t="str">
        <f t="shared" si="149"/>
        <v/>
      </c>
      <c r="T550" s="118">
        <f t="shared" si="150"/>
        <v>15.510248227871894</v>
      </c>
      <c r="U550" s="118">
        <f t="shared" si="151"/>
        <v>-17.840148242325292</v>
      </c>
      <c r="V550" s="118" t="e">
        <f t="shared" si="152"/>
        <v>#N/A</v>
      </c>
      <c r="W550" s="118" t="e">
        <f t="shared" si="153"/>
        <v>#N/A</v>
      </c>
      <c r="X550" s="118">
        <f>IF(OR(N550="",R550=""),NA(),10*LOG10((G550+'CMOS FOM coeff. calculation'!$Q$3)^'CMOS FOM coeff. calculation'!$P$3*(1000*E550)^'CMOS FOM coeff. calculation'!$N$3*R550^'CMOS FOM coeff. calculation'!$O$3*N550^'CMOS FOM coeff. calculation'!$M$3))</f>
        <v>13.339466087458778</v>
      </c>
      <c r="Y550" s="68"/>
    </row>
    <row r="551" spans="1:27">
      <c r="A551" t="s">
        <v>1447</v>
      </c>
      <c r="B551" s="8" t="s">
        <v>1446</v>
      </c>
      <c r="C551" t="s">
        <v>1448</v>
      </c>
      <c r="D551" s="7" t="s">
        <v>1445</v>
      </c>
      <c r="E551" s="1">
        <v>0.18</v>
      </c>
      <c r="F551" s="1">
        <v>6.4</v>
      </c>
      <c r="G551" s="1">
        <v>5.9</v>
      </c>
      <c r="H551" s="1">
        <v>-10</v>
      </c>
      <c r="I551" s="1">
        <v>3.8</v>
      </c>
      <c r="K551" s="1">
        <v>1</v>
      </c>
      <c r="L551" s="1">
        <v>10</v>
      </c>
      <c r="M551" s="1">
        <v>0.6</v>
      </c>
      <c r="N551" s="1">
        <v>7</v>
      </c>
      <c r="P551" s="114">
        <v>1.5E-6</v>
      </c>
      <c r="Q551" s="118">
        <f t="shared" si="147"/>
        <v>1.5542587989105452</v>
      </c>
      <c r="R551" s="119">
        <f t="shared" si="148"/>
        <v>450.73505168405808</v>
      </c>
      <c r="S551" s="118" t="str">
        <f t="shared" si="149"/>
        <v/>
      </c>
      <c r="T551" s="118">
        <f t="shared" si="150"/>
        <v>9.5229133343073311</v>
      </c>
      <c r="U551" s="118">
        <f t="shared" si="151"/>
        <v>-6.8356467543610409</v>
      </c>
      <c r="V551" s="118" t="e">
        <f t="shared" si="152"/>
        <v>#N/A</v>
      </c>
      <c r="W551" s="118" t="e">
        <f t="shared" si="153"/>
        <v>#N/A</v>
      </c>
      <c r="X551" s="118">
        <f>IF(OR(N551="",R551=""),NA(),10*LOG10((G551+'CMOS FOM coeff. calculation'!$Q$3)^'CMOS FOM coeff. calculation'!$P$3*(1000*E551)^'CMOS FOM coeff. calculation'!$N$3*R551^'CMOS FOM coeff. calculation'!$O$3*N551^'CMOS FOM coeff. calculation'!$M$3))</f>
        <v>16.275340611087433</v>
      </c>
      <c r="Y551" s="68"/>
      <c r="Z551" t="s">
        <v>2154</v>
      </c>
      <c r="AA551" s="3" t="s">
        <v>5</v>
      </c>
    </row>
    <row r="552" spans="1:27">
      <c r="A552" t="s">
        <v>1447</v>
      </c>
      <c r="B552" s="8" t="s">
        <v>1449</v>
      </c>
      <c r="C552" t="s">
        <v>1451</v>
      </c>
      <c r="D552" s="7" t="s">
        <v>1450</v>
      </c>
      <c r="E552" s="1">
        <v>0.18</v>
      </c>
      <c r="F552" s="1">
        <v>6.2</v>
      </c>
      <c r="G552" s="1">
        <v>5.9</v>
      </c>
      <c r="H552" s="1">
        <v>-10</v>
      </c>
      <c r="I552" s="1">
        <v>3.1</v>
      </c>
      <c r="K552" s="1">
        <v>-7</v>
      </c>
      <c r="L552" s="1">
        <v>16</v>
      </c>
      <c r="M552" s="1">
        <v>1.8</v>
      </c>
      <c r="N552" s="1">
        <v>11.9</v>
      </c>
      <c r="O552" s="1">
        <v>0.7</v>
      </c>
      <c r="P552" s="1">
        <v>1.2</v>
      </c>
      <c r="Q552" s="118">
        <f t="shared" si="147"/>
        <v>1.0685794468036918</v>
      </c>
      <c r="R552" s="119">
        <f t="shared" si="148"/>
        <v>309.88803957307061</v>
      </c>
      <c r="S552" s="118" t="str">
        <f t="shared" si="149"/>
        <v/>
      </c>
      <c r="T552" s="118">
        <f t="shared" si="150"/>
        <v>8.6639112254890911</v>
      </c>
      <c r="U552" s="118">
        <f t="shared" si="151"/>
        <v>-6.0226055938282457</v>
      </c>
      <c r="V552" s="118" t="e">
        <f t="shared" si="152"/>
        <v>#N/A</v>
      </c>
      <c r="W552" s="118" t="e">
        <f t="shared" si="153"/>
        <v>#N/A</v>
      </c>
      <c r="X552" s="118">
        <f>IF(OR(N552="",R552=""),NA(),10*LOG10((G552+'CMOS FOM coeff. calculation'!$Q$3)^'CMOS FOM coeff. calculation'!$P$3*(1000*E552)^'CMOS FOM coeff. calculation'!$N$3*R552^'CMOS FOM coeff. calculation'!$O$3*N552^'CMOS FOM coeff. calculation'!$M$3))</f>
        <v>17.278891430402123</v>
      </c>
      <c r="Y552" s="68"/>
      <c r="Z552" t="s">
        <v>2155</v>
      </c>
      <c r="AA552" s="3" t="s">
        <v>5</v>
      </c>
    </row>
    <row r="553" spans="1:27">
      <c r="A553" t="s">
        <v>1459</v>
      </c>
      <c r="B553" s="8" t="s">
        <v>1457</v>
      </c>
      <c r="C553" t="s">
        <v>1458</v>
      </c>
      <c r="D553" s="7" t="s">
        <v>1456</v>
      </c>
      <c r="E553" s="1">
        <v>0.13</v>
      </c>
      <c r="F553" s="1">
        <v>0.9</v>
      </c>
      <c r="G553" s="1">
        <v>5.0999999999999996</v>
      </c>
      <c r="H553" s="1">
        <v>-10</v>
      </c>
      <c r="I553" s="1">
        <v>5.3</v>
      </c>
      <c r="J553" s="1">
        <v>-22</v>
      </c>
      <c r="L553" s="1">
        <v>10.3</v>
      </c>
      <c r="M553" s="1">
        <v>0.4</v>
      </c>
      <c r="N553" s="1">
        <v>1.03</v>
      </c>
      <c r="P553" s="1">
        <v>1.1499999999999999</v>
      </c>
      <c r="Q553" s="118">
        <f t="shared" si="147"/>
        <v>2.6342875830321089</v>
      </c>
      <c r="R553" s="119">
        <f t="shared" si="148"/>
        <v>763.94339907931158</v>
      </c>
      <c r="S553" s="118">
        <f t="shared" si="149"/>
        <v>6.1298724094396205E-2</v>
      </c>
      <c r="T553" s="118">
        <f t="shared" si="150"/>
        <v>11.346376725497809</v>
      </c>
      <c r="U553" s="118">
        <f t="shared" si="151"/>
        <v>-11.498901694033393</v>
      </c>
      <c r="V553" s="118">
        <f t="shared" si="152"/>
        <v>-14.83604111930916</v>
      </c>
      <c r="W553" s="118">
        <f t="shared" si="153"/>
        <v>-14.988566087844744</v>
      </c>
      <c r="X553" s="118">
        <f>IF(OR(N553="",R553=""),NA(),10*LOG10((G553+'CMOS FOM coeff. calculation'!$Q$3)^'CMOS FOM coeff. calculation'!$P$3*(1000*E553)^'CMOS FOM coeff. calculation'!$N$3*R553^'CMOS FOM coeff. calculation'!$O$3*N553^'CMOS FOM coeff. calculation'!$M$3))</f>
        <v>14.535524552700211</v>
      </c>
      <c r="Y553" s="68"/>
      <c r="Z553" t="s">
        <v>2156</v>
      </c>
      <c r="AA553" s="3" t="s">
        <v>5</v>
      </c>
    </row>
    <row r="554" spans="1:27">
      <c r="A554" t="s">
        <v>1463</v>
      </c>
      <c r="B554" s="8" t="s">
        <v>1461</v>
      </c>
      <c r="C554" t="s">
        <v>1462</v>
      </c>
      <c r="D554" s="7" t="s">
        <v>1460</v>
      </c>
      <c r="E554" s="1">
        <v>0.18</v>
      </c>
      <c r="F554" s="1">
        <v>9.5</v>
      </c>
      <c r="G554" s="1">
        <v>6.75</v>
      </c>
      <c r="H554" s="1">
        <v>-10</v>
      </c>
      <c r="I554" s="1">
        <v>3.1</v>
      </c>
      <c r="J554" s="1">
        <v>-8.5</v>
      </c>
      <c r="K554" s="1">
        <v>3</v>
      </c>
      <c r="L554" s="1">
        <v>14.8</v>
      </c>
      <c r="M554" s="1">
        <v>1.2</v>
      </c>
      <c r="N554" s="1">
        <v>13.4</v>
      </c>
      <c r="P554" s="1">
        <v>0.33</v>
      </c>
      <c r="Q554" s="118">
        <f t="shared" si="147"/>
        <v>1.0774144915586716</v>
      </c>
      <c r="R554" s="119">
        <f t="shared" si="148"/>
        <v>312.45020255201479</v>
      </c>
      <c r="S554" s="118">
        <f t="shared" si="149"/>
        <v>4.1245414335536514</v>
      </c>
      <c r="T554" s="118">
        <f t="shared" si="150"/>
        <v>8.4818522340771558</v>
      </c>
      <c r="U554" s="118">
        <f t="shared" si="151"/>
        <v>-5.2227735497809959</v>
      </c>
      <c r="V554" s="118">
        <f t="shared" si="152"/>
        <v>-10.469536919351627</v>
      </c>
      <c r="W554" s="118">
        <f t="shared" si="153"/>
        <v>-7.2104582350554676</v>
      </c>
      <c r="X554" s="118">
        <f>IF(OR(N554="",R554=""),NA(),10*LOG10((G554+'CMOS FOM coeff. calculation'!$Q$3)^'CMOS FOM coeff. calculation'!$P$3*(1000*E554)^'CMOS FOM coeff. calculation'!$N$3*R554^'CMOS FOM coeff. calculation'!$O$3*N554^'CMOS FOM coeff. calculation'!$M$3))</f>
        <v>17.503351190148361</v>
      </c>
      <c r="Y554" s="68"/>
      <c r="Z554" t="s">
        <v>2157</v>
      </c>
      <c r="AA554" s="3" t="s">
        <v>5</v>
      </c>
    </row>
    <row r="555" spans="1:27">
      <c r="A555" t="s">
        <v>1467</v>
      </c>
      <c r="B555" s="8" t="s">
        <v>1465</v>
      </c>
      <c r="C555" t="s">
        <v>1466</v>
      </c>
      <c r="D555" s="7" t="s">
        <v>1464</v>
      </c>
      <c r="E555" s="1">
        <v>0.18</v>
      </c>
      <c r="F555" s="1">
        <v>8.1</v>
      </c>
      <c r="G555" s="1">
        <v>6.95</v>
      </c>
      <c r="H555" s="1">
        <v>-10</v>
      </c>
      <c r="I555" s="1">
        <v>3.8</v>
      </c>
      <c r="L555" s="1">
        <v>16</v>
      </c>
      <c r="M555" s="1">
        <v>1.8</v>
      </c>
      <c r="N555" s="1">
        <v>9.5</v>
      </c>
      <c r="P555" s="1">
        <v>0.98399999999999999</v>
      </c>
      <c r="Q555" s="118">
        <f t="shared" si="147"/>
        <v>1.4348753584576632</v>
      </c>
      <c r="R555" s="119">
        <f t="shared" si="148"/>
        <v>416.11385395272231</v>
      </c>
      <c r="S555" s="118" t="str">
        <f t="shared" si="149"/>
        <v/>
      </c>
      <c r="T555" s="118">
        <f t="shared" si="150"/>
        <v>9.1436883595217751</v>
      </c>
      <c r="U555" s="118">
        <f t="shared" si="151"/>
        <v>-6.1154049632596088</v>
      </c>
      <c r="V555" s="118" t="e">
        <f t="shared" si="152"/>
        <v>#N/A</v>
      </c>
      <c r="W555" s="118" t="e">
        <f t="shared" si="153"/>
        <v>#N/A</v>
      </c>
      <c r="X555" s="118">
        <f>IF(OR(N555="",R555=""),NA(),10*LOG10((G555+'CMOS FOM coeff. calculation'!$Q$3)^'CMOS FOM coeff. calculation'!$P$3*(1000*E555)^'CMOS FOM coeff. calculation'!$N$3*R555^'CMOS FOM coeff. calculation'!$O$3*N555^'CMOS FOM coeff. calculation'!$M$3))</f>
        <v>16.764758181792654</v>
      </c>
      <c r="Y555" s="68"/>
      <c r="Z555" t="s">
        <v>2158</v>
      </c>
      <c r="AA555" s="3" t="s">
        <v>5</v>
      </c>
    </row>
    <row r="556" spans="1:27">
      <c r="A556" t="s">
        <v>1467</v>
      </c>
      <c r="B556" s="8" t="s">
        <v>1469</v>
      </c>
      <c r="C556" t="s">
        <v>1470</v>
      </c>
      <c r="D556" s="7" t="s">
        <v>1468</v>
      </c>
      <c r="E556" s="1">
        <v>0.13</v>
      </c>
      <c r="G556" s="1">
        <v>15.2</v>
      </c>
      <c r="H556" s="1">
        <v>-10</v>
      </c>
      <c r="I556" s="1">
        <v>4.2</v>
      </c>
      <c r="J556" s="1">
        <v>-14.3</v>
      </c>
      <c r="K556" s="1">
        <v>-5</v>
      </c>
      <c r="L556" s="1">
        <v>10.8</v>
      </c>
      <c r="M556" s="1">
        <v>1.3</v>
      </c>
      <c r="N556" s="1">
        <v>5.2</v>
      </c>
      <c r="P556" s="1">
        <v>0.46</v>
      </c>
      <c r="Q556" s="118">
        <f t="shared" si="147"/>
        <v>1.7781697059211312</v>
      </c>
      <c r="R556" s="119">
        <f t="shared" si="148"/>
        <v>515.66921471712806</v>
      </c>
      <c r="S556" s="118">
        <f t="shared" si="149"/>
        <v>0.4095300692412458</v>
      </c>
      <c r="T556" s="118">
        <f t="shared" si="150"/>
        <v>8.8215412654959007</v>
      </c>
      <c r="U556" s="118" t="e">
        <f t="shared" si="151"/>
        <v>#N/A</v>
      </c>
      <c r="V556" s="118">
        <f t="shared" si="152"/>
        <v>-13.486556229100898</v>
      </c>
      <c r="W556" s="118" t="e">
        <f t="shared" si="153"/>
        <v>#N/A</v>
      </c>
      <c r="X556" s="118">
        <f>IF(OR(N556="",R556=""),NA(),10*LOG10((G556+'CMOS FOM coeff. calculation'!$Q$3)^'CMOS FOM coeff. calculation'!$P$3*(1000*E556)^'CMOS FOM coeff. calculation'!$N$3*R556^'CMOS FOM coeff. calculation'!$O$3*N556^'CMOS FOM coeff. calculation'!$M$3))</f>
        <v>18.321202542638211</v>
      </c>
      <c r="Y556" s="68"/>
      <c r="Z556" t="s">
        <v>2159</v>
      </c>
      <c r="AA556" s="3" t="s">
        <v>5</v>
      </c>
    </row>
    <row r="557" spans="1:27">
      <c r="A557" t="s">
        <v>1474</v>
      </c>
      <c r="B557" s="8" t="s">
        <v>1472</v>
      </c>
      <c r="C557" t="s">
        <v>1473</v>
      </c>
      <c r="D557" s="7" t="s">
        <v>1471</v>
      </c>
      <c r="E557" s="1">
        <v>0.13</v>
      </c>
      <c r="F557" s="1">
        <v>8</v>
      </c>
      <c r="G557" s="1">
        <v>11</v>
      </c>
      <c r="I557" s="1">
        <v>3.1</v>
      </c>
      <c r="L557" s="1">
        <v>13</v>
      </c>
      <c r="M557" s="1">
        <v>1.5</v>
      </c>
      <c r="N557" s="1">
        <v>32</v>
      </c>
      <c r="P557" s="1">
        <v>2.4900000000000002</v>
      </c>
      <c r="Q557" s="118">
        <f t="shared" si="147"/>
        <v>1.0967033147104908</v>
      </c>
      <c r="R557" s="119">
        <f t="shared" si="148"/>
        <v>318.04396126604234</v>
      </c>
      <c r="S557" s="118" t="str">
        <f t="shared" si="149"/>
        <v/>
      </c>
      <c r="T557" s="118">
        <f t="shared" si="150"/>
        <v>10.289528890224954</v>
      </c>
      <c r="U557" s="118">
        <f t="shared" si="151"/>
        <v>-7.2792289335851423</v>
      </c>
      <c r="V557" s="118" t="e">
        <f t="shared" si="152"/>
        <v>#N/A</v>
      </c>
      <c r="W557" s="118" t="e">
        <f t="shared" si="153"/>
        <v>#N/A</v>
      </c>
      <c r="X557" s="118">
        <f>IF(OR(N557="",R557=""),NA(),10*LOG10((G557+'CMOS FOM coeff. calculation'!$Q$3)^'CMOS FOM coeff. calculation'!$P$3*(1000*E557)^'CMOS FOM coeff. calculation'!$N$3*R557^'CMOS FOM coeff. calculation'!$O$3*N557^'CMOS FOM coeff. calculation'!$M$3))</f>
        <v>17.29292993917419</v>
      </c>
      <c r="Y557" s="68"/>
      <c r="Z557" t="s">
        <v>2160</v>
      </c>
      <c r="AA557" s="3" t="s">
        <v>1100</v>
      </c>
    </row>
    <row r="558" spans="1:27">
      <c r="E558" s="1">
        <v>0.13</v>
      </c>
      <c r="F558" s="1">
        <v>8</v>
      </c>
      <c r="G558" s="1">
        <v>11</v>
      </c>
      <c r="I558" s="1">
        <v>3.7</v>
      </c>
      <c r="L558" s="1">
        <v>14</v>
      </c>
      <c r="M558" s="1">
        <v>1.5</v>
      </c>
      <c r="N558" s="1">
        <v>51</v>
      </c>
      <c r="P558" s="1">
        <v>2.4900000000000002</v>
      </c>
      <c r="Q558" s="118">
        <f t="shared" si="147"/>
        <v>1.3999623190935047</v>
      </c>
      <c r="R558" s="119">
        <f t="shared" si="148"/>
        <v>405.98907253711633</v>
      </c>
      <c r="S558" s="118" t="str">
        <f t="shared" si="149"/>
        <v/>
      </c>
      <c r="T558" s="118">
        <f t="shared" si="150"/>
        <v>12.024534786986695</v>
      </c>
      <c r="U558" s="118">
        <f t="shared" si="151"/>
        <v>-9.0142348303468829</v>
      </c>
      <c r="V558" s="118" t="e">
        <f t="shared" si="152"/>
        <v>#N/A</v>
      </c>
      <c r="W558" s="118" t="e">
        <f t="shared" si="153"/>
        <v>#N/A</v>
      </c>
      <c r="X558" s="118">
        <f>IF(OR(N558="",R558=""),NA(),10*LOG10((G558+'CMOS FOM coeff. calculation'!$Q$3)^'CMOS FOM coeff. calculation'!$P$3*(1000*E558)^'CMOS FOM coeff. calculation'!$N$3*R558^'CMOS FOM coeff. calculation'!$O$3*N558^'CMOS FOM coeff. calculation'!$M$3))</f>
        <v>15.933844829866654</v>
      </c>
      <c r="Y558" s="68"/>
    </row>
    <row r="559" spans="1:27">
      <c r="A559" t="s">
        <v>1483</v>
      </c>
      <c r="B559" s="8" t="s">
        <v>1482</v>
      </c>
      <c r="C559" t="s">
        <v>1484</v>
      </c>
      <c r="D559" s="7" t="s">
        <v>1481</v>
      </c>
      <c r="E559" s="1">
        <v>0.18</v>
      </c>
      <c r="F559" s="1">
        <v>1.155</v>
      </c>
      <c r="G559" s="1">
        <v>0.59750000000000003</v>
      </c>
      <c r="H559" s="1">
        <v>-10</v>
      </c>
      <c r="I559" s="1">
        <v>3.3</v>
      </c>
      <c r="K559" s="1">
        <v>2.7</v>
      </c>
      <c r="L559" s="1">
        <v>20.5</v>
      </c>
      <c r="M559" s="1">
        <v>1.8</v>
      </c>
      <c r="N559" s="1">
        <v>32.4</v>
      </c>
      <c r="O559" s="1">
        <v>0.12</v>
      </c>
      <c r="Q559" s="118">
        <f t="shared" si="147"/>
        <v>1.1481953917023882</v>
      </c>
      <c r="R559" s="119">
        <f t="shared" si="148"/>
        <v>332.97666359369259</v>
      </c>
      <c r="S559" s="118" t="str">
        <f t="shared" si="149"/>
        <v/>
      </c>
      <c r="T559" s="118">
        <f t="shared" si="150"/>
        <v>17.056088563393796</v>
      </c>
      <c r="U559" s="118">
        <f t="shared" si="151"/>
        <v>-16.847481949299919</v>
      </c>
      <c r="V559" s="118" t="e">
        <f t="shared" si="152"/>
        <v>#N/A</v>
      </c>
      <c r="W559" s="118" t="e">
        <f t="shared" si="153"/>
        <v>#N/A</v>
      </c>
      <c r="X559" s="118">
        <f>IF(OR(N559="",R559=""),NA(),10*LOG10((G559+'CMOS FOM coeff. calculation'!$Q$3)^'CMOS FOM coeff. calculation'!$P$3*(1000*E559)^'CMOS FOM coeff. calculation'!$N$3*R559^'CMOS FOM coeff. calculation'!$O$3*N559^'CMOS FOM coeff. calculation'!$M$3))</f>
        <v>13.467860311701827</v>
      </c>
      <c r="Y559" s="68"/>
      <c r="Z559" t="s">
        <v>2161</v>
      </c>
      <c r="AA559" s="3" t="s">
        <v>5</v>
      </c>
    </row>
    <row r="560" spans="1:27">
      <c r="A560" t="s">
        <v>1487</v>
      </c>
      <c r="B560" s="8" t="s">
        <v>1486</v>
      </c>
      <c r="C560" t="s">
        <v>1488</v>
      </c>
      <c r="D560" s="7" t="s">
        <v>1485</v>
      </c>
      <c r="E560" s="1">
        <v>0.13</v>
      </c>
      <c r="F560" s="1">
        <v>0.4</v>
      </c>
      <c r="G560" s="1">
        <v>1.9</v>
      </c>
      <c r="H560" s="1">
        <v>-10</v>
      </c>
      <c r="I560" s="1">
        <v>1.75</v>
      </c>
      <c r="J560" s="1">
        <v>-16</v>
      </c>
      <c r="K560" s="1">
        <v>-5.8</v>
      </c>
      <c r="L560" s="1">
        <v>14.54</v>
      </c>
      <c r="M560" s="1">
        <v>1.5</v>
      </c>
      <c r="N560" s="1">
        <v>7.5</v>
      </c>
      <c r="P560" s="1">
        <v>0.54400000000000004</v>
      </c>
      <c r="Q560" s="118">
        <f t="shared" si="147"/>
        <v>0.51431700746602871</v>
      </c>
      <c r="R560" s="119">
        <f t="shared" si="148"/>
        <v>149.15193216514834</v>
      </c>
      <c r="S560" s="118">
        <f t="shared" si="149"/>
        <v>0.68937746176041703</v>
      </c>
      <c r="T560" s="118">
        <f t="shared" si="150"/>
        <v>9.9849110325440513</v>
      </c>
      <c r="U560" s="118">
        <f t="shared" si="151"/>
        <v>-11.31137772811751</v>
      </c>
      <c r="V560" s="118">
        <f t="shared" si="152"/>
        <v>-11.41591481922015</v>
      </c>
      <c r="W560" s="118">
        <f t="shared" si="153"/>
        <v>-12.742381514793609</v>
      </c>
      <c r="X560" s="118">
        <f>IF(OR(N560="",R560=""),NA(),10*LOG10((G560+'CMOS FOM coeff. calculation'!$Q$3)^'CMOS FOM coeff. calculation'!$P$3*(1000*E560)^'CMOS FOM coeff. calculation'!$N$3*R560^'CMOS FOM coeff. calculation'!$O$3*N560^'CMOS FOM coeff. calculation'!$M$3))</f>
        <v>17.621338506397283</v>
      </c>
      <c r="Y560" s="68"/>
      <c r="Z560" t="s">
        <v>2162</v>
      </c>
      <c r="AA560" s="3" t="s">
        <v>361</v>
      </c>
    </row>
    <row r="561" spans="1:27">
      <c r="E561" s="1">
        <v>0.13</v>
      </c>
      <c r="F561" s="1">
        <v>0.4</v>
      </c>
      <c r="G561" s="1">
        <v>2.2000000000000002</v>
      </c>
      <c r="H561" s="1">
        <v>-10</v>
      </c>
      <c r="I561" s="1">
        <v>1.97</v>
      </c>
      <c r="J561" s="1">
        <v>-14.8</v>
      </c>
      <c r="K561" s="1">
        <v>-5.3</v>
      </c>
      <c r="L561" s="1">
        <v>16.600000000000001</v>
      </c>
      <c r="M561" s="1">
        <v>1.5</v>
      </c>
      <c r="N561" s="1">
        <v>7.5</v>
      </c>
      <c r="Q561" s="118">
        <f t="shared" si="147"/>
        <v>0.58682111154585381</v>
      </c>
      <c r="R561" s="119">
        <f t="shared" si="148"/>
        <v>170.17812234829759</v>
      </c>
      <c r="S561" s="118">
        <f t="shared" si="149"/>
        <v>1.4804481362879498</v>
      </c>
      <c r="T561" s="118">
        <f t="shared" si="150"/>
        <v>10.133198938553644</v>
      </c>
      <c r="U561" s="118">
        <f t="shared" si="151"/>
        <v>-11.459665634127102</v>
      </c>
      <c r="V561" s="118">
        <f t="shared" si="152"/>
        <v>-10.66997926830286</v>
      </c>
      <c r="W561" s="118">
        <f t="shared" si="153"/>
        <v>-11.996445963876319</v>
      </c>
      <c r="X561" s="118">
        <f>IF(OR(N561="",R561=""),NA(),10*LOG10((G561+'CMOS FOM coeff. calculation'!$Q$3)^'CMOS FOM coeff. calculation'!$P$3*(1000*E561)^'CMOS FOM coeff. calculation'!$N$3*R561^'CMOS FOM coeff. calculation'!$O$3*N561^'CMOS FOM coeff. calculation'!$M$3))</f>
        <v>17.266224352089349</v>
      </c>
      <c r="Y561" s="68"/>
    </row>
    <row r="562" spans="1:27">
      <c r="A562" t="s">
        <v>1494</v>
      </c>
      <c r="B562" s="8" t="s">
        <v>1493</v>
      </c>
      <c r="C562" t="s">
        <v>1495</v>
      </c>
      <c r="D562" s="7" t="s">
        <v>1492</v>
      </c>
      <c r="E562" s="1">
        <v>0.09</v>
      </c>
      <c r="F562" s="1">
        <v>7.9</v>
      </c>
      <c r="G562" s="1">
        <v>4.05</v>
      </c>
      <c r="H562" s="1">
        <v>-10</v>
      </c>
      <c r="I562" s="1">
        <v>3.4</v>
      </c>
      <c r="K562" s="1">
        <v>-9</v>
      </c>
      <c r="L562" s="1">
        <v>16</v>
      </c>
      <c r="M562" s="1">
        <v>1.4</v>
      </c>
      <c r="N562" s="1">
        <v>16</v>
      </c>
      <c r="O562" s="1">
        <v>3.4000000000000002E-2</v>
      </c>
      <c r="P562" s="1">
        <v>0.14000000000000001</v>
      </c>
      <c r="Q562" s="118">
        <f t="shared" si="147"/>
        <v>1.2183655837335376</v>
      </c>
      <c r="R562" s="119">
        <f t="shared" si="148"/>
        <v>353.32601928272589</v>
      </c>
      <c r="S562" s="118" t="str">
        <f t="shared" si="149"/>
        <v/>
      </c>
      <c r="T562" s="118">
        <f t="shared" si="150"/>
        <v>14.76524255418221</v>
      </c>
      <c r="U562" s="118">
        <f t="shared" si="151"/>
        <v>-11.773152249880738</v>
      </c>
      <c r="V562" s="118" t="e">
        <f t="shared" si="152"/>
        <v>#N/A</v>
      </c>
      <c r="W562" s="118" t="e">
        <f t="shared" si="153"/>
        <v>#N/A</v>
      </c>
      <c r="X562" s="118">
        <f>IF(OR(N562="",R562=""),NA(),10*LOG10((G562+'CMOS FOM coeff. calculation'!$Q$3)^'CMOS FOM coeff. calculation'!$P$3*(1000*E562)^'CMOS FOM coeff. calculation'!$N$3*R562^'CMOS FOM coeff. calculation'!$O$3*N562^'CMOS FOM coeff. calculation'!$M$3))</f>
        <v>13.563134392166562</v>
      </c>
      <c r="Y562" s="68"/>
      <c r="Z562" t="s">
        <v>2163</v>
      </c>
      <c r="AA562" s="3" t="s">
        <v>5</v>
      </c>
    </row>
    <row r="563" spans="1:27">
      <c r="A563" t="s">
        <v>1499</v>
      </c>
      <c r="B563" s="8" t="s">
        <v>1497</v>
      </c>
      <c r="C563" t="s">
        <v>1498</v>
      </c>
      <c r="D563" s="7" t="s">
        <v>1496</v>
      </c>
      <c r="E563" s="1">
        <v>0.13</v>
      </c>
      <c r="F563" s="1">
        <v>7.5</v>
      </c>
      <c r="G563" s="1">
        <v>6.85</v>
      </c>
      <c r="H563" s="1">
        <v>-8</v>
      </c>
      <c r="I563" s="1">
        <v>5</v>
      </c>
      <c r="J563" s="1">
        <v>-22.2</v>
      </c>
      <c r="K563" s="1">
        <v>-12</v>
      </c>
      <c r="L563" s="1">
        <v>13.21</v>
      </c>
      <c r="M563" s="1">
        <v>1.3</v>
      </c>
      <c r="N563" s="1">
        <v>9.1</v>
      </c>
      <c r="O563" s="1">
        <v>0.08</v>
      </c>
      <c r="P563" s="1">
        <v>0.34</v>
      </c>
      <c r="Q563" s="118">
        <f t="shared" si="147"/>
        <v>2.2707107454652529</v>
      </c>
      <c r="R563" s="119">
        <f t="shared" si="148"/>
        <v>658.50611618492337</v>
      </c>
      <c r="S563" s="118">
        <f t="shared" si="149"/>
        <v>0.12015715759832356</v>
      </c>
      <c r="T563" s="118">
        <f t="shared" si="150"/>
        <v>13.001240951679121</v>
      </c>
      <c r="U563" s="118">
        <f t="shared" si="151"/>
        <v>-10.084370073706786</v>
      </c>
      <c r="V563" s="118">
        <f t="shared" si="152"/>
        <v>-19.097659851274916</v>
      </c>
      <c r="W563" s="118">
        <f t="shared" si="153"/>
        <v>-16.180788973302583</v>
      </c>
      <c r="X563" s="118">
        <f>IF(OR(N563="",R563=""),NA(),10*LOG10((G563+'CMOS FOM coeff. calculation'!$Q$3)^'CMOS FOM coeff. calculation'!$P$3*(1000*E563)^'CMOS FOM coeff. calculation'!$N$3*R563^'CMOS FOM coeff. calculation'!$O$3*N563^'CMOS FOM coeff. calculation'!$M$3))</f>
        <v>13.977524367664284</v>
      </c>
      <c r="Y563" s="68"/>
      <c r="Z563" t="s">
        <v>2164</v>
      </c>
      <c r="AA563" s="3" t="s">
        <v>5</v>
      </c>
    </row>
    <row r="564" spans="1:27">
      <c r="A564" t="s">
        <v>1503</v>
      </c>
      <c r="B564" s="8" t="s">
        <v>1501</v>
      </c>
      <c r="C564" t="s">
        <v>1502</v>
      </c>
      <c r="D564" s="7" t="s">
        <v>1500</v>
      </c>
      <c r="E564" s="1">
        <v>0.18</v>
      </c>
      <c r="F564" s="1">
        <v>4.0999999999999996</v>
      </c>
      <c r="G564" s="1">
        <v>22.05</v>
      </c>
      <c r="H564" s="1">
        <v>-11</v>
      </c>
      <c r="I564" s="1">
        <v>4.3</v>
      </c>
      <c r="J564" s="1">
        <v>-10</v>
      </c>
      <c r="K564" s="1">
        <v>-1</v>
      </c>
      <c r="L564" s="1">
        <v>10.1</v>
      </c>
      <c r="M564" s="1">
        <v>1.8</v>
      </c>
      <c r="N564" s="1">
        <v>7.2</v>
      </c>
      <c r="O564" s="1">
        <v>0.128</v>
      </c>
      <c r="Q564" s="118">
        <f t="shared" si="147"/>
        <v>1.8747415235781095</v>
      </c>
      <c r="R564" s="119">
        <f t="shared" si="148"/>
        <v>543.67504183765175</v>
      </c>
      <c r="S564" s="118">
        <f t="shared" si="149"/>
        <v>0.92329299228075434</v>
      </c>
      <c r="T564" s="118">
        <f t="shared" si="150"/>
        <v>6.5608316146886727</v>
      </c>
      <c r="U564" s="118">
        <f t="shared" si="151"/>
        <v>-4.5182187589562215</v>
      </c>
      <c r="V564" s="118">
        <f t="shared" si="152"/>
        <v>-11.529745134773155</v>
      </c>
      <c r="W564" s="118">
        <f t="shared" si="153"/>
        <v>-9.4871322790407024</v>
      </c>
      <c r="X564" s="118">
        <f>IF(OR(N564="",R564=""),NA(),10*LOG10((G564+'CMOS FOM coeff. calculation'!$Q$3)^'CMOS FOM coeff. calculation'!$P$3*(1000*E564)^'CMOS FOM coeff. calculation'!$N$3*R564^'CMOS FOM coeff. calculation'!$O$3*N564^'CMOS FOM coeff. calculation'!$M$3))</f>
        <v>20.640348191921433</v>
      </c>
      <c r="Y564" s="68"/>
      <c r="Z564" t="s">
        <v>2165</v>
      </c>
      <c r="AA564" s="3" t="s">
        <v>5</v>
      </c>
    </row>
    <row r="565" spans="1:27">
      <c r="A565" t="s">
        <v>1507</v>
      </c>
      <c r="B565" s="8" t="s">
        <v>1505</v>
      </c>
      <c r="C565" t="s">
        <v>1506</v>
      </c>
      <c r="D565" s="7" t="s">
        <v>1504</v>
      </c>
      <c r="E565" s="1">
        <v>0.18</v>
      </c>
      <c r="F565" s="1">
        <v>1.1000000000000001</v>
      </c>
      <c r="G565" s="1">
        <v>4.8499999999999996</v>
      </c>
      <c r="H565" s="1">
        <v>-5</v>
      </c>
      <c r="I565" s="1">
        <v>4.0999999999999996</v>
      </c>
      <c r="J565" s="1">
        <v>-23.8</v>
      </c>
      <c r="K565" s="1">
        <v>-15</v>
      </c>
      <c r="L565" s="1">
        <v>10.23</v>
      </c>
      <c r="M565" s="1">
        <v>0.6</v>
      </c>
      <c r="N565" s="1">
        <v>0.8</v>
      </c>
      <c r="P565" s="1">
        <v>0.79</v>
      </c>
      <c r="Q565" s="118">
        <f t="shared" si="147"/>
        <v>1.7349407685295515</v>
      </c>
      <c r="R565" s="119">
        <f t="shared" si="148"/>
        <v>503.13282287356992</v>
      </c>
      <c r="S565" s="118">
        <f t="shared" si="149"/>
        <v>3.9785467709079099E-2</v>
      </c>
      <c r="T565" s="118">
        <f t="shared" si="150"/>
        <v>7.427901488760936</v>
      </c>
      <c r="U565" s="118">
        <f t="shared" si="151"/>
        <v>-7.2899258715668527</v>
      </c>
      <c r="V565" s="118">
        <f t="shared" si="152"/>
        <v>-11.575834031432276</v>
      </c>
      <c r="W565" s="118">
        <f t="shared" si="153"/>
        <v>-11.437858414238192</v>
      </c>
      <c r="X565" s="118">
        <f>IF(OR(N565="",R565=""),NA(),10*LOG10((G565+'CMOS FOM coeff. calculation'!$Q$3)^'CMOS FOM coeff. calculation'!$P$3*(1000*E565)^'CMOS FOM coeff. calculation'!$N$3*R565^'CMOS FOM coeff. calculation'!$O$3*N565^'CMOS FOM coeff. calculation'!$M$3))</f>
        <v>17.263483309119145</v>
      </c>
      <c r="Y565" s="68"/>
      <c r="Z565" t="s">
        <v>2166</v>
      </c>
      <c r="AA565" s="3" t="s">
        <v>5</v>
      </c>
    </row>
    <row r="566" spans="1:27">
      <c r="A566" t="s">
        <v>1511</v>
      </c>
      <c r="B566" s="8" t="s">
        <v>1509</v>
      </c>
      <c r="C566" t="s">
        <v>1510</v>
      </c>
      <c r="D566" s="7" t="s">
        <v>1508</v>
      </c>
      <c r="E566" s="1">
        <v>0.18</v>
      </c>
      <c r="F566" s="1">
        <v>4.25</v>
      </c>
      <c r="G566" s="1">
        <v>5.375</v>
      </c>
      <c r="H566" s="1">
        <v>-10</v>
      </c>
      <c r="I566" s="1">
        <v>3.14</v>
      </c>
      <c r="K566" s="1">
        <v>-6.63</v>
      </c>
      <c r="L566" s="1">
        <v>15.2</v>
      </c>
      <c r="M566" s="1">
        <v>1.8</v>
      </c>
      <c r="N566" s="1">
        <v>3.77</v>
      </c>
      <c r="P566" s="1">
        <v>0.96</v>
      </c>
      <c r="Q566" s="118">
        <f t="shared" si="147"/>
        <v>1.0936578523988307</v>
      </c>
      <c r="R566" s="119">
        <f t="shared" si="148"/>
        <v>317.1607771956609</v>
      </c>
      <c r="S566" s="118" t="str">
        <f t="shared" si="149"/>
        <v/>
      </c>
      <c r="T566" s="118">
        <f t="shared" si="150"/>
        <v>7.3704627305006154</v>
      </c>
      <c r="U566" s="118">
        <f t="shared" si="151"/>
        <v>-5.2758329636662431</v>
      </c>
      <c r="V566" s="118" t="e">
        <f t="shared" si="152"/>
        <v>#N/A</v>
      </c>
      <c r="W566" s="118" t="e">
        <f t="shared" si="153"/>
        <v>#N/A</v>
      </c>
      <c r="X566" s="118">
        <f>IF(OR(N566="",R566=""),NA(),10*LOG10((G566+'CMOS FOM coeff. calculation'!$Q$3)^'CMOS FOM coeff. calculation'!$P$3*(1000*E566)^'CMOS FOM coeff. calculation'!$N$3*R566^'CMOS FOM coeff. calculation'!$O$3*N566^'CMOS FOM coeff. calculation'!$M$3))</f>
        <v>17.956744989221868</v>
      </c>
      <c r="Y566" s="68"/>
      <c r="Z566" t="s">
        <v>2167</v>
      </c>
      <c r="AA566" s="3" t="s">
        <v>5</v>
      </c>
    </row>
    <row r="567" spans="1:27">
      <c r="A567" t="s">
        <v>1518</v>
      </c>
      <c r="B567" s="8" t="s">
        <v>1516</v>
      </c>
      <c r="C567" t="s">
        <v>1517</v>
      </c>
      <c r="D567" s="7" t="s">
        <v>1515</v>
      </c>
      <c r="E567" s="1">
        <v>0.09</v>
      </c>
      <c r="F567" s="1">
        <v>19.899999999999999</v>
      </c>
      <c r="G567" s="1">
        <v>10.050000000000001</v>
      </c>
      <c r="H567" s="1">
        <v>-9</v>
      </c>
      <c r="I567" s="1">
        <v>3.3</v>
      </c>
      <c r="K567" s="1">
        <v>-4</v>
      </c>
      <c r="L567" s="1">
        <v>12.7</v>
      </c>
      <c r="M567" s="1">
        <v>1.2</v>
      </c>
      <c r="N567" s="1">
        <v>12.6</v>
      </c>
      <c r="O567" s="1">
        <v>0.11700000000000001</v>
      </c>
      <c r="P567" s="1">
        <v>0.35</v>
      </c>
      <c r="Q567" s="118">
        <f t="shared" si="147"/>
        <v>1.2025424423023421</v>
      </c>
      <c r="R567" s="119">
        <f t="shared" si="148"/>
        <v>348.73730826767923</v>
      </c>
      <c r="S567" s="118" t="str">
        <f t="shared" si="149"/>
        <v/>
      </c>
      <c r="T567" s="118">
        <f t="shared" si="150"/>
        <v>11.73123207838273</v>
      </c>
      <c r="U567" s="118">
        <f t="shared" si="151"/>
        <v>-7.4017218236837081</v>
      </c>
      <c r="V567" s="118" t="e">
        <f t="shared" si="152"/>
        <v>#N/A</v>
      </c>
      <c r="W567" s="118" t="e">
        <f t="shared" si="153"/>
        <v>#N/A</v>
      </c>
      <c r="X567" s="118">
        <f>IF(OR(N567="",R567=""),NA(),10*LOG10((G567+'CMOS FOM coeff. calculation'!$Q$3)^'CMOS FOM coeff. calculation'!$P$3*(1000*E567)^'CMOS FOM coeff. calculation'!$N$3*R567^'CMOS FOM coeff. calculation'!$O$3*N567^'CMOS FOM coeff. calculation'!$M$3))</f>
        <v>16.290705634512477</v>
      </c>
      <c r="Y567" s="68"/>
      <c r="Z567" t="s">
        <v>2168</v>
      </c>
      <c r="AA567" s="3" t="s">
        <v>5</v>
      </c>
    </row>
    <row r="568" spans="1:27">
      <c r="A568" t="s">
        <v>1518</v>
      </c>
      <c r="B568" s="8" t="s">
        <v>2065</v>
      </c>
      <c r="C568" t="s">
        <v>2066</v>
      </c>
      <c r="D568" s="7" t="s">
        <v>2067</v>
      </c>
      <c r="E568" s="1">
        <v>4.4999999999999998E-2</v>
      </c>
      <c r="F568" s="1">
        <v>4</v>
      </c>
      <c r="G568" s="1">
        <v>23.2</v>
      </c>
      <c r="H568" s="1">
        <v>-4</v>
      </c>
      <c r="I568" s="1">
        <v>4</v>
      </c>
      <c r="J568" s="1">
        <v>-9.5</v>
      </c>
      <c r="K568" s="1">
        <v>2.25</v>
      </c>
      <c r="L568" s="1">
        <v>7.1</v>
      </c>
      <c r="M568" s="1">
        <v>1</v>
      </c>
      <c r="N568" s="1">
        <v>3.6</v>
      </c>
      <c r="P568" s="1">
        <v>0.81</v>
      </c>
      <c r="Q568" s="118">
        <f t="shared" si="147"/>
        <v>1.8780835354608676</v>
      </c>
      <c r="R568" s="119">
        <f t="shared" si="148"/>
        <v>544.64422528365162</v>
      </c>
      <c r="S568" s="118">
        <f t="shared" si="149"/>
        <v>0.46323809190696058</v>
      </c>
      <c r="T568" s="118">
        <f t="shared" si="150"/>
        <v>13.445403973477239</v>
      </c>
      <c r="U568" s="118">
        <f t="shared" si="151"/>
        <v>-11.438537335717365</v>
      </c>
      <c r="V568" s="118">
        <f t="shared" si="152"/>
        <v>-16.476066424683211</v>
      </c>
      <c r="W568" s="118">
        <f t="shared" si="153"/>
        <v>-14.469199786923337</v>
      </c>
      <c r="X568" s="118">
        <f>IF(OR(N568="",R568=""),NA(),10*LOG10((G568+'CMOS FOM coeff. calculation'!$Q$3)^'CMOS FOM coeff. calculation'!$P$3*(1000*E568)^'CMOS FOM coeff. calculation'!$N$3*R568^'CMOS FOM coeff. calculation'!$O$3*N568^'CMOS FOM coeff. calculation'!$M$3))</f>
        <v>17.292298509334657</v>
      </c>
      <c r="Y568" s="68"/>
      <c r="Z568" t="s">
        <v>2169</v>
      </c>
      <c r="AA568" s="3" t="s">
        <v>5</v>
      </c>
    </row>
    <row r="569" spans="1:27">
      <c r="A569" t="s">
        <v>1522</v>
      </c>
      <c r="B569" s="8" t="s">
        <v>1520</v>
      </c>
      <c r="C569" t="s">
        <v>1521</v>
      </c>
      <c r="D569" s="7" t="s">
        <v>1519</v>
      </c>
      <c r="E569" s="1">
        <v>0.13</v>
      </c>
      <c r="F569" s="1">
        <v>0.85</v>
      </c>
      <c r="G569" s="1">
        <v>0.57499999999999996</v>
      </c>
      <c r="H569" s="1">
        <v>-18</v>
      </c>
      <c r="I569" s="1">
        <v>2.5</v>
      </c>
      <c r="K569" s="1">
        <v>-0.5</v>
      </c>
      <c r="L569" s="1">
        <v>14.3</v>
      </c>
      <c r="M569" s="1">
        <v>1.2</v>
      </c>
      <c r="N569" s="1">
        <v>3</v>
      </c>
      <c r="O569" s="1">
        <v>0.06</v>
      </c>
      <c r="P569" s="1">
        <v>0.21</v>
      </c>
      <c r="Q569" s="118">
        <f t="shared" si="147"/>
        <v>0.80831101173146469</v>
      </c>
      <c r="R569" s="119">
        <f t="shared" si="148"/>
        <v>234.41019340212475</v>
      </c>
      <c r="S569" s="118" t="str">
        <f t="shared" si="149"/>
        <v/>
      </c>
      <c r="T569" s="118">
        <f t="shared" si="150"/>
        <v>14.08249213996328</v>
      </c>
      <c r="U569" s="118">
        <f t="shared" si="151"/>
        <v>-14.317762387582304</v>
      </c>
      <c r="V569" s="118" t="e">
        <f t="shared" si="152"/>
        <v>#N/A</v>
      </c>
      <c r="W569" s="118" t="e">
        <f t="shared" si="153"/>
        <v>#N/A</v>
      </c>
      <c r="X569" s="118">
        <f>IF(OR(N569="",R569=""),NA(),10*LOG10((G569+'CMOS FOM coeff. calculation'!$Q$3)^'CMOS FOM coeff. calculation'!$P$3*(1000*E569)^'CMOS FOM coeff. calculation'!$N$3*R569^'CMOS FOM coeff. calculation'!$O$3*N569^'CMOS FOM coeff. calculation'!$M$3))</f>
        <v>15.904122309055994</v>
      </c>
      <c r="Y569" s="68"/>
      <c r="Z569" t="s">
        <v>2170</v>
      </c>
      <c r="AA569" s="3" t="s">
        <v>5</v>
      </c>
    </row>
    <row r="570" spans="1:27">
      <c r="A570" t="s">
        <v>1526</v>
      </c>
      <c r="B570" s="8" t="s">
        <v>1524</v>
      </c>
      <c r="C570" t="s">
        <v>1525</v>
      </c>
      <c r="D570" s="7" t="s">
        <v>1523</v>
      </c>
      <c r="E570" s="1">
        <v>0.13</v>
      </c>
      <c r="G570" s="1">
        <v>5.2</v>
      </c>
      <c r="I570" s="1">
        <v>2.9</v>
      </c>
      <c r="K570" s="1">
        <v>-5</v>
      </c>
      <c r="L570" s="1">
        <v>21.7</v>
      </c>
      <c r="N570" s="1">
        <v>8</v>
      </c>
      <c r="Q570" s="118">
        <f t="shared" si="147"/>
        <v>0.9563100491925991</v>
      </c>
      <c r="R570" s="119">
        <f t="shared" si="148"/>
        <v>277.32991426585374</v>
      </c>
      <c r="S570" s="118" t="str">
        <f t="shared" si="149"/>
        <v/>
      </c>
      <c r="T570" s="118">
        <f t="shared" si="150"/>
        <v>9.8570201632843677</v>
      </c>
      <c r="U570" s="118" t="e">
        <f t="shared" si="151"/>
        <v>#N/A</v>
      </c>
      <c r="V570" s="118" t="e">
        <f t="shared" si="152"/>
        <v>#N/A</v>
      </c>
      <c r="W570" s="118" t="e">
        <f t="shared" si="153"/>
        <v>#N/A</v>
      </c>
      <c r="X570" s="118">
        <f>IF(OR(N570="",R570=""),NA(),10*LOG10((G570+'CMOS FOM coeff. calculation'!$Q$3)^'CMOS FOM coeff. calculation'!$P$3*(1000*E570)^'CMOS FOM coeff. calculation'!$N$3*R570^'CMOS FOM coeff. calculation'!$O$3*N570^'CMOS FOM coeff. calculation'!$M$3))</f>
        <v>16.760487634206946</v>
      </c>
      <c r="Y570" s="68"/>
      <c r="Z570" t="s">
        <v>2171</v>
      </c>
      <c r="AA570" s="3" t="s">
        <v>5</v>
      </c>
    </row>
    <row r="571" spans="1:27">
      <c r="A571" t="s">
        <v>1530</v>
      </c>
      <c r="B571" s="8" t="s">
        <v>1528</v>
      </c>
      <c r="C571" t="s">
        <v>1529</v>
      </c>
      <c r="D571" s="7" t="s">
        <v>1527</v>
      </c>
      <c r="E571" s="1">
        <v>0.13</v>
      </c>
      <c r="F571" s="1">
        <v>7.35</v>
      </c>
      <c r="G571" s="1">
        <v>6.6749999999999998</v>
      </c>
      <c r="H571" s="1">
        <v>-8.3000000000000007</v>
      </c>
      <c r="I571" s="1">
        <v>3.3</v>
      </c>
      <c r="J571" s="1">
        <v>-14</v>
      </c>
      <c r="L571" s="1">
        <v>12.5</v>
      </c>
      <c r="M571" s="1">
        <v>1.2</v>
      </c>
      <c r="N571" s="1">
        <v>7.2</v>
      </c>
      <c r="P571" s="1">
        <v>0.77</v>
      </c>
      <c r="Q571" s="118">
        <f t="shared" si="147"/>
        <v>1.2057673716677233</v>
      </c>
      <c r="R571" s="119">
        <f t="shared" si="148"/>
        <v>349.67253778363977</v>
      </c>
      <c r="S571" s="118">
        <f t="shared" si="149"/>
        <v>0.66813506732878847</v>
      </c>
      <c r="T571" s="118">
        <f t="shared" si="150"/>
        <v>9.9881570996031641</v>
      </c>
      <c r="U571" s="118">
        <f t="shared" si="151"/>
        <v>-7.1005326359891816</v>
      </c>
      <c r="V571" s="118">
        <f t="shared" si="152"/>
        <v>-13.224366607296748</v>
      </c>
      <c r="W571" s="118">
        <f t="shared" si="153"/>
        <v>-10.336742143682766</v>
      </c>
      <c r="X571" s="118">
        <f>IF(OR(N571="",R571=""),NA(),10*LOG10((G571+'CMOS FOM coeff. calculation'!$Q$3)^'CMOS FOM coeff. calculation'!$P$3*(1000*E571)^'CMOS FOM coeff. calculation'!$N$3*R571^'CMOS FOM coeff. calculation'!$O$3*N571^'CMOS FOM coeff. calculation'!$M$3))</f>
        <v>16.582514427056751</v>
      </c>
      <c r="Y571" s="68"/>
      <c r="Z571" t="s">
        <v>2172</v>
      </c>
      <c r="AA571" s="3" t="s">
        <v>5</v>
      </c>
    </row>
    <row r="572" spans="1:27">
      <c r="A572" t="s">
        <v>1530</v>
      </c>
      <c r="B572" s="8" t="s">
        <v>1532</v>
      </c>
      <c r="C572" t="s">
        <v>274</v>
      </c>
      <c r="D572" s="7" t="s">
        <v>1531</v>
      </c>
      <c r="E572" s="1">
        <v>6.5000000000000002E-2</v>
      </c>
      <c r="F572" s="1">
        <v>3.8</v>
      </c>
      <c r="G572" s="1">
        <v>4.4000000000000004</v>
      </c>
      <c r="H572" s="1">
        <v>-10</v>
      </c>
      <c r="I572" s="1">
        <v>4</v>
      </c>
      <c r="J572" s="1">
        <v>-17.600000000000001</v>
      </c>
      <c r="L572" s="1">
        <v>13.8</v>
      </c>
      <c r="M572" s="1">
        <v>1.2</v>
      </c>
      <c r="N572" s="1">
        <v>6.8</v>
      </c>
      <c r="P572" s="1">
        <v>1.02</v>
      </c>
      <c r="Q572" s="118">
        <f t="shared" si="147"/>
        <v>1.5776539963900436</v>
      </c>
      <c r="R572" s="119">
        <f t="shared" si="148"/>
        <v>457.51965895311264</v>
      </c>
      <c r="S572" s="118">
        <f t="shared" si="149"/>
        <v>0.3994913751828415</v>
      </c>
      <c r="T572" s="118">
        <f t="shared" si="150"/>
        <v>16.29328472959682</v>
      </c>
      <c r="U572" s="118">
        <f t="shared" si="151"/>
        <v>-14.36067274087412</v>
      </c>
      <c r="V572" s="118">
        <f t="shared" si="152"/>
        <v>-18.584509857205898</v>
      </c>
      <c r="W572" s="118">
        <f t="shared" si="153"/>
        <v>-16.651897868483196</v>
      </c>
      <c r="X572" s="118">
        <f>IF(OR(N572="",R572=""),NA(),10*LOG10((G572+'CMOS FOM coeff. calculation'!$Q$3)^'CMOS FOM coeff. calculation'!$P$3*(1000*E572)^'CMOS FOM coeff. calculation'!$N$3*R572^'CMOS FOM coeff. calculation'!$O$3*N572^'CMOS FOM coeff. calculation'!$M$3))</f>
        <v>12.471946717205416</v>
      </c>
      <c r="Y572" s="68"/>
      <c r="Z572" t="s">
        <v>2173</v>
      </c>
      <c r="AA572" s="3" t="s">
        <v>5</v>
      </c>
    </row>
    <row r="573" spans="1:27">
      <c r="A573" t="s">
        <v>1535</v>
      </c>
      <c r="B573" s="8" t="s">
        <v>1537</v>
      </c>
      <c r="C573" t="s">
        <v>1538</v>
      </c>
      <c r="D573" s="7" t="s">
        <v>1539</v>
      </c>
      <c r="E573" s="1">
        <v>0.18</v>
      </c>
      <c r="F573" s="1">
        <v>7.5</v>
      </c>
      <c r="G573" s="1">
        <v>6.85</v>
      </c>
      <c r="H573" s="1">
        <v>-13</v>
      </c>
      <c r="I573" s="1">
        <v>4.5</v>
      </c>
      <c r="J573" s="1">
        <v>-11</v>
      </c>
      <c r="K573" s="1">
        <v>-1.4</v>
      </c>
      <c r="L573" s="1">
        <v>13.2</v>
      </c>
      <c r="M573" s="1">
        <v>1.8</v>
      </c>
      <c r="N573" s="1">
        <v>23.04</v>
      </c>
      <c r="P573" s="1">
        <v>1.421</v>
      </c>
      <c r="Q573" s="118">
        <f t="shared" si="147"/>
        <v>1.9097912893797335</v>
      </c>
      <c r="R573" s="119">
        <f t="shared" si="148"/>
        <v>553.83947392012271</v>
      </c>
      <c r="S573" s="118">
        <f t="shared" si="149"/>
        <v>1.5801540839651314</v>
      </c>
      <c r="T573" s="118">
        <f t="shared" si="150"/>
        <v>11.709896786289216</v>
      </c>
      <c r="U573" s="118">
        <f t="shared" si="151"/>
        <v>-8.7930259083168814</v>
      </c>
      <c r="V573" s="118">
        <f t="shared" si="152"/>
        <v>-15.89238383098767</v>
      </c>
      <c r="W573" s="118">
        <f t="shared" si="153"/>
        <v>-12.975512953015336</v>
      </c>
      <c r="X573" s="118">
        <f>IF(OR(N573="",R573=""),NA(),10*LOG10((G573+'CMOS FOM coeff. calculation'!$Q$3)^'CMOS FOM coeff. calculation'!$P$3*(1000*E573)^'CMOS FOM coeff. calculation'!$N$3*R573^'CMOS FOM coeff. calculation'!$O$3*N573^'CMOS FOM coeff. calculation'!$M$3))</f>
        <v>14.836529434962928</v>
      </c>
      <c r="Y573" s="68"/>
      <c r="Z573" t="s">
        <v>2174</v>
      </c>
      <c r="AA573" s="3" t="s">
        <v>2074</v>
      </c>
    </row>
    <row r="574" spans="1:27">
      <c r="A574" t="s">
        <v>1542</v>
      </c>
      <c r="B574" s="8" t="s">
        <v>1545</v>
      </c>
      <c r="C574" t="s">
        <v>1546</v>
      </c>
      <c r="D574" s="7" t="s">
        <v>1544</v>
      </c>
      <c r="E574" s="1">
        <v>0.18</v>
      </c>
      <c r="F574" s="1">
        <v>3.5</v>
      </c>
      <c r="G574" s="1">
        <v>4.75</v>
      </c>
      <c r="H574" s="1">
        <v>-12</v>
      </c>
      <c r="I574" s="1">
        <v>1.9</v>
      </c>
      <c r="K574" s="1">
        <v>-13</v>
      </c>
      <c r="L574" s="1">
        <v>16</v>
      </c>
      <c r="M574" s="1">
        <v>1.06</v>
      </c>
      <c r="N574" s="1">
        <v>4.5</v>
      </c>
      <c r="P574" s="1">
        <v>0.62</v>
      </c>
      <c r="Q574" s="118">
        <f t="shared" si="147"/>
        <v>0.56295747124792761</v>
      </c>
      <c r="R574" s="119">
        <f t="shared" si="148"/>
        <v>163.25766666189901</v>
      </c>
      <c r="S574" s="118" t="str">
        <f t="shared" si="149"/>
        <v/>
      </c>
      <c r="T574" s="118">
        <f t="shared" si="150"/>
        <v>5.1005401191783744</v>
      </c>
      <c r="U574" s="118">
        <f t="shared" si="151"/>
        <v>-3.2869799713441221</v>
      </c>
      <c r="V574" s="118" t="e">
        <f t="shared" si="152"/>
        <v>#N/A</v>
      </c>
      <c r="W574" s="118" t="e">
        <f t="shared" si="153"/>
        <v>#N/A</v>
      </c>
      <c r="X574" s="118">
        <f>IF(OR(N574="",R574=""),NA(),10*LOG10((G574+'CMOS FOM coeff. calculation'!$Q$3)^'CMOS FOM coeff. calculation'!$P$3*(1000*E574)^'CMOS FOM coeff. calculation'!$N$3*R574^'CMOS FOM coeff. calculation'!$O$3*N574^'CMOS FOM coeff. calculation'!$M$3))</f>
        <v>20.116804528240294</v>
      </c>
      <c r="Y574" s="68"/>
      <c r="Z574" t="s">
        <v>2175</v>
      </c>
      <c r="AA574" s="3" t="s">
        <v>5</v>
      </c>
    </row>
    <row r="575" spans="1:27">
      <c r="A575" t="s">
        <v>1550</v>
      </c>
      <c r="B575" s="8" t="s">
        <v>1548</v>
      </c>
      <c r="C575" t="s">
        <v>1549</v>
      </c>
      <c r="D575" s="7" t="s">
        <v>1547</v>
      </c>
      <c r="E575" s="1">
        <v>0.18</v>
      </c>
      <c r="F575" s="1">
        <v>10.5</v>
      </c>
      <c r="G575" s="1">
        <v>5.75</v>
      </c>
      <c r="H575" s="1">
        <v>-9</v>
      </c>
      <c r="I575" s="1">
        <v>3.9</v>
      </c>
      <c r="K575" s="1">
        <v>-9.1</v>
      </c>
      <c r="L575" s="1">
        <v>10.199999999999999</v>
      </c>
      <c r="N575" s="1">
        <v>14.4</v>
      </c>
      <c r="P575" s="1">
        <v>0.54</v>
      </c>
      <c r="Q575" s="118">
        <f t="shared" si="147"/>
        <v>1.6083004127081837</v>
      </c>
      <c r="R575" s="119">
        <f t="shared" si="148"/>
        <v>466.40711968537329</v>
      </c>
      <c r="S575" s="118" t="str">
        <f t="shared" si="149"/>
        <v/>
      </c>
      <c r="T575" s="118">
        <f t="shared" si="150"/>
        <v>10.790127674908099</v>
      </c>
      <c r="U575" s="118">
        <f t="shared" si="151"/>
        <v>-7.3861633446749728</v>
      </c>
      <c r="V575" s="118" t="e">
        <f t="shared" si="152"/>
        <v>#N/A</v>
      </c>
      <c r="W575" s="118" t="e">
        <f t="shared" si="153"/>
        <v>#N/A</v>
      </c>
      <c r="X575" s="118">
        <f>IF(OR(N575="",R575=""),NA(),10*LOG10((G575+'CMOS FOM coeff. calculation'!$Q$3)^'CMOS FOM coeff. calculation'!$P$3*(1000*E575)^'CMOS FOM coeff. calculation'!$N$3*R575^'CMOS FOM coeff. calculation'!$O$3*N575^'CMOS FOM coeff. calculation'!$M$3))</f>
        <v>15.450154010388381</v>
      </c>
      <c r="Y575" s="68"/>
      <c r="Z575" t="s">
        <v>2176</v>
      </c>
      <c r="AA575" s="3" t="s">
        <v>5</v>
      </c>
    </row>
    <row r="576" spans="1:27">
      <c r="A576" t="s">
        <v>1553</v>
      </c>
      <c r="B576" s="8" t="s">
        <v>1552</v>
      </c>
      <c r="C576" t="s">
        <v>1554</v>
      </c>
      <c r="D576" s="7" t="s">
        <v>1551</v>
      </c>
      <c r="E576" s="1">
        <v>0.09</v>
      </c>
      <c r="F576" s="1">
        <v>3.9</v>
      </c>
      <c r="G576" s="1">
        <v>4.05</v>
      </c>
      <c r="H576" s="1">
        <v>-20</v>
      </c>
      <c r="I576" s="1">
        <v>2.16</v>
      </c>
      <c r="K576" s="1">
        <v>-3.98</v>
      </c>
      <c r="L576" s="1">
        <v>16.899999999999999</v>
      </c>
      <c r="M576" s="1">
        <v>1.2</v>
      </c>
      <c r="N576" s="1">
        <v>24.3</v>
      </c>
      <c r="O576" s="1">
        <v>0.23</v>
      </c>
      <c r="Q576" s="118">
        <f t="shared" si="147"/>
        <v>0.65780232284130014</v>
      </c>
      <c r="R576" s="119">
        <f t="shared" si="148"/>
        <v>190.76267362397704</v>
      </c>
      <c r="S576" s="118" t="str">
        <f t="shared" si="149"/>
        <v/>
      </c>
      <c r="T576" s="118">
        <f t="shared" si="150"/>
        <v>12.693374658736724</v>
      </c>
      <c r="U576" s="118">
        <f t="shared" si="151"/>
        <v>-10.723159301981728</v>
      </c>
      <c r="V576" s="118" t="e">
        <f t="shared" si="152"/>
        <v>#N/A</v>
      </c>
      <c r="W576" s="118" t="e">
        <f t="shared" si="153"/>
        <v>#N/A</v>
      </c>
      <c r="X576" s="118">
        <f>IF(OR(N576="",R576=""),NA(),10*LOG10((G576+'CMOS FOM coeff. calculation'!$Q$3)^'CMOS FOM coeff. calculation'!$P$3*(1000*E576)^'CMOS FOM coeff. calculation'!$N$3*R576^'CMOS FOM coeff. calculation'!$O$3*N576^'CMOS FOM coeff. calculation'!$M$3))</f>
        <v>15.609301789009889</v>
      </c>
      <c r="Y576" s="68"/>
      <c r="Z576" t="s">
        <v>2177</v>
      </c>
      <c r="AA576" s="3" t="s">
        <v>1555</v>
      </c>
    </row>
    <row r="577" spans="1:29">
      <c r="A577" t="s">
        <v>1563</v>
      </c>
      <c r="B577" s="8" t="s">
        <v>1561</v>
      </c>
      <c r="C577" t="s">
        <v>1562</v>
      </c>
      <c r="D577" s="7" t="s">
        <v>1560</v>
      </c>
      <c r="E577" s="1">
        <v>0.18</v>
      </c>
      <c r="F577" s="1">
        <v>8</v>
      </c>
      <c r="G577" s="1">
        <v>6</v>
      </c>
      <c r="H577" s="1">
        <v>-12</v>
      </c>
      <c r="I577" s="1">
        <v>2.4</v>
      </c>
      <c r="K577" s="1">
        <v>-15</v>
      </c>
      <c r="L577" s="1">
        <v>20</v>
      </c>
      <c r="M577" s="1">
        <v>1.5</v>
      </c>
      <c r="N577" s="1">
        <v>25.65</v>
      </c>
      <c r="P577" s="1">
        <v>1.06</v>
      </c>
      <c r="Q577" s="118">
        <f t="shared" si="147"/>
        <v>0.74525336237310669</v>
      </c>
      <c r="R577" s="119">
        <f t="shared" si="148"/>
        <v>216.12347508820093</v>
      </c>
      <c r="S577" s="118" t="str">
        <f t="shared" si="149"/>
        <v/>
      </c>
      <c r="T577" s="118">
        <f t="shared" si="150"/>
        <v>8.1620222687915103</v>
      </c>
      <c r="U577" s="118">
        <f t="shared" si="151"/>
        <v>-5.1517223121516986</v>
      </c>
      <c r="V577" s="118" t="e">
        <f t="shared" si="152"/>
        <v>#N/A</v>
      </c>
      <c r="W577" s="118" t="e">
        <f t="shared" si="153"/>
        <v>#N/A</v>
      </c>
      <c r="X577" s="118">
        <f>IF(OR(N577="",R577=""),NA(),10*LOG10((G577+'CMOS FOM coeff. calculation'!$Q$3)^'CMOS FOM coeff. calculation'!$P$3*(1000*E577)^'CMOS FOM coeff. calculation'!$N$3*R577^'CMOS FOM coeff. calculation'!$O$3*N577^'CMOS FOM coeff. calculation'!$M$3))</f>
        <v>18.063442707558952</v>
      </c>
      <c r="Y577" s="68"/>
      <c r="Z577" t="s">
        <v>2178</v>
      </c>
      <c r="AA577" s="3" t="s">
        <v>5</v>
      </c>
    </row>
    <row r="578" spans="1:29">
      <c r="A578" t="s">
        <v>1570</v>
      </c>
      <c r="B578" s="8" t="s">
        <v>1568</v>
      </c>
      <c r="C578" t="s">
        <v>1569</v>
      </c>
      <c r="D578" s="7" t="s">
        <v>1567</v>
      </c>
      <c r="E578" s="1">
        <v>0.18</v>
      </c>
      <c r="F578" s="1">
        <v>3.2</v>
      </c>
      <c r="G578" s="1">
        <v>20.399999999999999</v>
      </c>
      <c r="H578" s="1">
        <v>-3</v>
      </c>
      <c r="I578" s="1">
        <v>4.0999999999999996</v>
      </c>
      <c r="K578" s="1">
        <v>-6.2</v>
      </c>
      <c r="L578" s="1">
        <v>13.2</v>
      </c>
      <c r="M578" s="1">
        <v>0.6</v>
      </c>
      <c r="N578" s="1">
        <v>7.1</v>
      </c>
      <c r="O578" s="1">
        <v>0.55000000000000004</v>
      </c>
      <c r="P578" s="1">
        <v>1.36</v>
      </c>
      <c r="Q578" s="118">
        <f t="shared" si="147"/>
        <v>1.6493380658413528</v>
      </c>
      <c r="R578" s="119">
        <f t="shared" si="148"/>
        <v>478.30803909399231</v>
      </c>
      <c r="S578" s="118" t="str">
        <f t="shared" si="149"/>
        <v/>
      </c>
      <c r="T578" s="118">
        <f t="shared" si="150"/>
        <v>6.2094568019478968</v>
      </c>
      <c r="U578" s="118">
        <f t="shared" si="151"/>
        <v>-4.5256235408815435</v>
      </c>
      <c r="V578" s="118" t="e">
        <f t="shared" si="152"/>
        <v>#N/A</v>
      </c>
      <c r="W578" s="118" t="e">
        <f t="shared" si="153"/>
        <v>#N/A</v>
      </c>
      <c r="X578" s="118">
        <f>IF(OR(N578="",R578=""),NA(),10*LOG10((G578+'CMOS FOM coeff. calculation'!$Q$3)^'CMOS FOM coeff. calculation'!$P$3*(1000*E578)^'CMOS FOM coeff. calculation'!$N$3*R578^'CMOS FOM coeff. calculation'!$O$3*N578^'CMOS FOM coeff. calculation'!$M$3))</f>
        <v>20.748543691658973</v>
      </c>
      <c r="Y578" s="68"/>
      <c r="Z578" t="s">
        <v>2179</v>
      </c>
      <c r="AA578" s="3" t="s">
        <v>5</v>
      </c>
    </row>
    <row r="579" spans="1:29">
      <c r="A579" t="s">
        <v>1570</v>
      </c>
      <c r="B579" s="8" t="s">
        <v>1572</v>
      </c>
      <c r="C579" t="s">
        <v>1573</v>
      </c>
      <c r="D579" s="7" t="s">
        <v>1571</v>
      </c>
      <c r="E579" s="1">
        <v>0.09</v>
      </c>
      <c r="F579" s="1">
        <v>0.25</v>
      </c>
      <c r="G579" s="1">
        <v>1.9750000000000001</v>
      </c>
      <c r="H579" s="1">
        <v>-11</v>
      </c>
      <c r="I579" s="1">
        <v>3.5</v>
      </c>
      <c r="K579" s="1">
        <v>11</v>
      </c>
      <c r="L579" s="1">
        <v>16</v>
      </c>
      <c r="M579" s="1">
        <v>1</v>
      </c>
      <c r="N579" s="1">
        <v>4</v>
      </c>
      <c r="P579" s="1">
        <v>0.28999999999999998</v>
      </c>
      <c r="Q579" s="118">
        <f t="shared" si="147"/>
        <v>1.2706381252295686</v>
      </c>
      <c r="R579" s="119">
        <f t="shared" si="148"/>
        <v>368.48505631657491</v>
      </c>
      <c r="S579" s="118" t="str">
        <f t="shared" si="149"/>
        <v/>
      </c>
      <c r="T579" s="118">
        <f t="shared" si="150"/>
        <v>15.020071333245182</v>
      </c>
      <c r="U579" s="118">
        <f t="shared" si="151"/>
        <v>-17.026937971005058</v>
      </c>
      <c r="V579" s="118" t="e">
        <f t="shared" si="152"/>
        <v>#N/A</v>
      </c>
      <c r="W579" s="118" t="e">
        <f t="shared" si="153"/>
        <v>#N/A</v>
      </c>
      <c r="X579" s="118">
        <f>IF(OR(N579="",R579=""),NA(),10*LOG10((G579+'CMOS FOM coeff. calculation'!$Q$3)^'CMOS FOM coeff. calculation'!$P$3*(1000*E579)^'CMOS FOM coeff. calculation'!$N$3*R579^'CMOS FOM coeff. calculation'!$O$3*N579^'CMOS FOM coeff. calculation'!$M$3))</f>
        <v>13.554684450159955</v>
      </c>
      <c r="Y579" s="68"/>
      <c r="Z579" t="s">
        <v>2180</v>
      </c>
      <c r="AA579" s="3" t="s">
        <v>431</v>
      </c>
    </row>
    <row r="580" spans="1:29" ht="15" customHeight="1">
      <c r="E580" s="1">
        <v>0.09</v>
      </c>
      <c r="F580" s="1">
        <v>0.26500000000000001</v>
      </c>
      <c r="G580" s="1">
        <v>1.8</v>
      </c>
      <c r="H580" s="1">
        <v>-11</v>
      </c>
      <c r="I580" s="1">
        <v>4</v>
      </c>
      <c r="K580" s="1">
        <v>11</v>
      </c>
      <c r="L580" s="1">
        <v>15</v>
      </c>
      <c r="M580" s="1">
        <v>1</v>
      </c>
      <c r="N580" s="1">
        <v>4</v>
      </c>
      <c r="Q580" s="118">
        <f t="shared" ref="Q580:Q640" si="210">IF(OR(I580="",L580=""),"",(10^(I580/10)-1)*10^(L580/10)/(10^(L580/10)-1))</f>
        <v>1.5612577361164415</v>
      </c>
      <c r="R580" s="119">
        <f t="shared" ref="R580:R640" si="211">IF(Q580="","",290*Q580)</f>
        <v>452.76474347376802</v>
      </c>
      <c r="S580" s="118" t="str">
        <f t="shared" ref="S580:S634" si="212">IF(OR(J580="",L580=""),"",10^(J580/10)*(10^(L580/10)-1))</f>
        <v/>
      </c>
      <c r="T580" s="118">
        <f t="shared" ref="T580:T633" si="213">IF(OR(Q580="",N580="",E580="",G580=""),NA(),10*LOG10(Q580*N580^(1/3)*E580^(-4/3)*G580^(-2/3)))</f>
        <v>16.183229177948309</v>
      </c>
      <c r="U580" s="118">
        <f t="shared" ref="U580:U633" si="214">IF(OR(ISNA(T580),F580=""),NA(),10*LOG10(F580^(1/3))-T580)</f>
        <v>-18.105742931492284</v>
      </c>
      <c r="V580" s="118" t="e">
        <f t="shared" ref="V580:V633" si="215">IF(OR(ISNA(T580),S580=""),NA(),10*LOG10(S580^(1/3)*E580*G580^(1/3)/Q580/N580^(2/3)))</f>
        <v>#N/A</v>
      </c>
      <c r="W580" s="118" t="e">
        <f t="shared" ref="W580:W633" si="216">IF(OR(ISNA(V580),F580=""),NA(),V580+10*LOG10(F580^(1/3)))</f>
        <v>#N/A</v>
      </c>
      <c r="X580" s="118">
        <f>IF(OR(N580="",R580=""),NA(),10*LOG10((G580+'CMOS FOM coeff. calculation'!$Q$3)^'CMOS FOM coeff. calculation'!$P$3*(1000*E580)^'CMOS FOM coeff. calculation'!$N$3*R580^'CMOS FOM coeff. calculation'!$O$3*N580^'CMOS FOM coeff. calculation'!$M$3))</f>
        <v>12.65512382538591</v>
      </c>
      <c r="Y580" s="68"/>
    </row>
    <row r="581" spans="1:29">
      <c r="A581" t="s">
        <v>1577</v>
      </c>
      <c r="B581" s="8" t="s">
        <v>1579</v>
      </c>
      <c r="C581" t="s">
        <v>1580</v>
      </c>
      <c r="D581" s="7" t="s">
        <v>1578</v>
      </c>
      <c r="E581" s="1">
        <v>0.13</v>
      </c>
      <c r="F581" s="1">
        <v>0.77800000000000002</v>
      </c>
      <c r="G581" s="1">
        <v>0.46100000000000002</v>
      </c>
      <c r="H581" s="1">
        <v>-8</v>
      </c>
      <c r="I581" s="1">
        <v>3.1</v>
      </c>
      <c r="K581" s="1">
        <v>2.5</v>
      </c>
      <c r="L581" s="1">
        <v>14.5</v>
      </c>
      <c r="M581" s="1">
        <v>1.2</v>
      </c>
      <c r="N581" s="1">
        <v>9.6</v>
      </c>
      <c r="P581" s="1">
        <v>0.08</v>
      </c>
      <c r="Q581" s="118">
        <f t="shared" si="210"/>
        <v>1.0800599166289755</v>
      </c>
      <c r="R581" s="119">
        <f t="shared" si="211"/>
        <v>313.21737582240291</v>
      </c>
      <c r="S581" s="118" t="str">
        <f t="shared" si="212"/>
        <v/>
      </c>
      <c r="T581" s="118">
        <f t="shared" si="213"/>
        <v>17.664798397752865</v>
      </c>
      <c r="U581" s="118">
        <f t="shared" si="214"/>
        <v>-18.028199741120567</v>
      </c>
      <c r="V581" s="118" t="e">
        <f t="shared" si="215"/>
        <v>#N/A</v>
      </c>
      <c r="W581" s="118" t="e">
        <f t="shared" si="216"/>
        <v>#N/A</v>
      </c>
      <c r="X581" s="118">
        <f>IF(OR(N581="",R581=""),NA(),10*LOG10((G581+'CMOS FOM coeff. calculation'!$Q$3)^'CMOS FOM coeff. calculation'!$P$3*(1000*E581)^'CMOS FOM coeff. calculation'!$N$3*R581^'CMOS FOM coeff. calculation'!$O$3*N581^'CMOS FOM coeff. calculation'!$M$3))</f>
        <v>13.69372025505599</v>
      </c>
      <c r="Y581" s="68"/>
      <c r="Z581" t="s">
        <v>2181</v>
      </c>
      <c r="AA581" s="3" t="s">
        <v>5</v>
      </c>
    </row>
    <row r="582" spans="1:29">
      <c r="A582" t="s">
        <v>1584</v>
      </c>
      <c r="B582" s="8" t="s">
        <v>1586</v>
      </c>
      <c r="C582" t="s">
        <v>1587</v>
      </c>
      <c r="D582" s="7" t="s">
        <v>1585</v>
      </c>
      <c r="E582" s="1">
        <v>0.13</v>
      </c>
      <c r="F582" s="1">
        <v>3.7</v>
      </c>
      <c r="G582" s="1">
        <v>24.05</v>
      </c>
      <c r="H582" s="1">
        <v>-6</v>
      </c>
      <c r="I582" s="1">
        <v>3.7</v>
      </c>
      <c r="J582" s="1">
        <v>-13</v>
      </c>
      <c r="K582" s="1">
        <v>-2.9</v>
      </c>
      <c r="L582" s="1">
        <v>9.1999999999999993</v>
      </c>
      <c r="M582" s="1">
        <v>1</v>
      </c>
      <c r="N582" s="1">
        <v>2.78</v>
      </c>
      <c r="O582" s="1">
        <v>0.27</v>
      </c>
      <c r="P582" s="1">
        <v>0.45</v>
      </c>
      <c r="Q582" s="118">
        <f t="shared" si="210"/>
        <v>1.5279259138103745</v>
      </c>
      <c r="R582" s="119">
        <f t="shared" si="211"/>
        <v>443.09851500500861</v>
      </c>
      <c r="S582" s="118">
        <f t="shared" si="212"/>
        <v>0.36675066010760804</v>
      </c>
      <c r="T582" s="118">
        <f t="shared" si="213"/>
        <v>5.9278270506950923</v>
      </c>
      <c r="U582" s="118">
        <f t="shared" si="214"/>
        <v>-4.0338213038051087</v>
      </c>
      <c r="V582" s="118">
        <f t="shared" si="215"/>
        <v>-10.510268133162688</v>
      </c>
      <c r="W582" s="118">
        <f t="shared" si="216"/>
        <v>-8.6162623862727035</v>
      </c>
      <c r="X582" s="118">
        <f>IF(OR(N582="",R582=""),NA(),10*LOG10((G582+'CMOS FOM coeff. calculation'!$Q$3)^'CMOS FOM coeff. calculation'!$P$3*(1000*E582)^'CMOS FOM coeff. calculation'!$N$3*R582^'CMOS FOM coeff. calculation'!$O$3*N582^'CMOS FOM coeff. calculation'!$M$3))</f>
        <v>21.743640013201329</v>
      </c>
      <c r="Y582" s="68"/>
      <c r="Z582" t="s">
        <v>2182</v>
      </c>
      <c r="AA582" s="3" t="s">
        <v>5</v>
      </c>
    </row>
    <row r="583" spans="1:29">
      <c r="A583" t="s">
        <v>1590</v>
      </c>
      <c r="B583" s="8" t="s">
        <v>1589</v>
      </c>
      <c r="C583" t="s">
        <v>1591</v>
      </c>
      <c r="D583" s="7" t="s">
        <v>1588</v>
      </c>
      <c r="E583" s="1">
        <v>0.13</v>
      </c>
      <c r="F583" s="1">
        <v>4.5</v>
      </c>
      <c r="G583" s="1">
        <v>53.55</v>
      </c>
      <c r="H583" s="1">
        <v>-10</v>
      </c>
      <c r="I583" s="1">
        <v>7.6</v>
      </c>
      <c r="J583" s="1">
        <v>-25</v>
      </c>
      <c r="K583" s="1">
        <v>-16</v>
      </c>
      <c r="L583" s="1">
        <v>21</v>
      </c>
      <c r="M583" s="1">
        <v>1.5</v>
      </c>
      <c r="N583" s="1">
        <v>15.1</v>
      </c>
      <c r="P583" s="1">
        <v>1.06</v>
      </c>
      <c r="Q583" s="118">
        <f t="shared" si="210"/>
        <v>4.7924672942295636</v>
      </c>
      <c r="R583" s="119">
        <f t="shared" si="211"/>
        <v>1389.8155153265734</v>
      </c>
      <c r="S583" s="118">
        <f t="shared" si="212"/>
        <v>0.39494489289332863</v>
      </c>
      <c r="T583" s="118">
        <f t="shared" si="213"/>
        <v>11.024540203325099</v>
      </c>
      <c r="U583" s="118">
        <f t="shared" si="214"/>
        <v>-8.8471651574072858</v>
      </c>
      <c r="V583" s="118">
        <f t="shared" si="215"/>
        <v>-19.10835111170319</v>
      </c>
      <c r="W583" s="118">
        <f t="shared" si="216"/>
        <v>-16.930976065785377</v>
      </c>
      <c r="X583" s="118">
        <f>IF(OR(N583="",R583=""),NA(),10*LOG10((G583+'CMOS FOM coeff. calculation'!$Q$3)^'CMOS FOM coeff. calculation'!$P$3*(1000*E583)^'CMOS FOM coeff. calculation'!$N$3*R583^'CMOS FOM coeff. calculation'!$O$3*N583^'CMOS FOM coeff. calculation'!$M$3))</f>
        <v>20.77122116159741</v>
      </c>
      <c r="Y583" s="68"/>
      <c r="Z583" t="s">
        <v>2183</v>
      </c>
      <c r="AA583" s="3" t="s">
        <v>5</v>
      </c>
    </row>
    <row r="584" spans="1:29">
      <c r="A584" t="s">
        <v>1595</v>
      </c>
      <c r="B584" s="8" t="s">
        <v>1593</v>
      </c>
      <c r="C584" t="s">
        <v>1594</v>
      </c>
      <c r="D584" s="7" t="s">
        <v>1592</v>
      </c>
      <c r="E584" s="1">
        <v>0.13</v>
      </c>
      <c r="F584" s="1">
        <v>6</v>
      </c>
      <c r="G584" s="1">
        <v>63</v>
      </c>
      <c r="H584" s="1">
        <v>-9</v>
      </c>
      <c r="I584" s="1">
        <v>5.5</v>
      </c>
      <c r="J584" s="1">
        <v>-18</v>
      </c>
      <c r="K584" s="1">
        <v>-8</v>
      </c>
      <c r="L584" s="1">
        <v>14.7</v>
      </c>
      <c r="M584" s="1">
        <v>1.5</v>
      </c>
      <c r="N584" s="1">
        <v>64.8</v>
      </c>
      <c r="O584" s="1">
        <v>0.105</v>
      </c>
      <c r="Q584" s="118">
        <f t="shared" si="210"/>
        <v>2.6375041801597399</v>
      </c>
      <c r="R584" s="119">
        <f t="shared" si="211"/>
        <v>764.8762122463246</v>
      </c>
      <c r="S584" s="118">
        <f t="shared" si="212"/>
        <v>0.45188620936258683</v>
      </c>
      <c r="T584" s="118">
        <f t="shared" si="213"/>
        <v>10.068999891949153</v>
      </c>
      <c r="U584" s="118">
        <f t="shared" si="214"/>
        <v>-7.4751623906703397</v>
      </c>
      <c r="V584" s="118">
        <f t="shared" si="215"/>
        <v>-20.301765958188014</v>
      </c>
      <c r="W584" s="118">
        <f t="shared" si="216"/>
        <v>-17.707928456909201</v>
      </c>
      <c r="X584" s="118">
        <f>IF(OR(N584="",R584=""),NA(),10*LOG10((G584+'CMOS FOM coeff. calculation'!$Q$3)^'CMOS FOM coeff. calculation'!$P$3*(1000*E584)^'CMOS FOM coeff. calculation'!$N$3*R584^'CMOS FOM coeff. calculation'!$O$3*N584^'CMOS FOM coeff. calculation'!$M$3))</f>
        <v>22.974479070484797</v>
      </c>
      <c r="Y584" s="68"/>
      <c r="Z584" t="s">
        <v>2184</v>
      </c>
      <c r="AA584" s="3" t="s">
        <v>5</v>
      </c>
    </row>
    <row r="585" spans="1:29">
      <c r="A585" t="s">
        <v>1599</v>
      </c>
      <c r="B585" s="8" t="s">
        <v>1601</v>
      </c>
      <c r="C585" t="s">
        <v>1602</v>
      </c>
      <c r="D585" s="7" t="s">
        <v>1600</v>
      </c>
      <c r="E585" s="1">
        <v>0.09</v>
      </c>
      <c r="F585" s="1">
        <v>0.5</v>
      </c>
      <c r="G585" s="1">
        <v>24</v>
      </c>
      <c r="H585" s="1">
        <v>-10</v>
      </c>
      <c r="I585" s="1">
        <v>2.9</v>
      </c>
      <c r="J585" s="1">
        <v>-15.1</v>
      </c>
      <c r="K585" s="1">
        <v>-5.3</v>
      </c>
      <c r="L585" s="1">
        <v>15.2</v>
      </c>
      <c r="N585" s="1">
        <v>9.1</v>
      </c>
      <c r="P585" s="1">
        <v>0.45500000000000002</v>
      </c>
      <c r="Q585" s="118">
        <f t="shared" si="210"/>
        <v>0.97942269220118272</v>
      </c>
      <c r="R585" s="119">
        <f t="shared" si="211"/>
        <v>284.03258073834297</v>
      </c>
      <c r="S585" s="118">
        <f t="shared" si="212"/>
        <v>0.99239003795561864</v>
      </c>
      <c r="T585" s="118">
        <f t="shared" si="213"/>
        <v>7.8485311899533414</v>
      </c>
      <c r="U585" s="118">
        <f t="shared" si="214"/>
        <v>-8.8519645088332783</v>
      </c>
      <c r="V585" s="118">
        <f t="shared" si="215"/>
        <v>-12.171240348245178</v>
      </c>
      <c r="W585" s="118">
        <f t="shared" si="216"/>
        <v>-13.174673667125115</v>
      </c>
      <c r="X585" s="118">
        <f>IF(OR(N585="",R585=""),NA(),10*LOG10((G585+'CMOS FOM coeff. calculation'!$Q$3)^'CMOS FOM coeff. calculation'!$P$3*(1000*E585)^'CMOS FOM coeff. calculation'!$N$3*R585^'CMOS FOM coeff. calculation'!$O$3*N585^'CMOS FOM coeff. calculation'!$M$3))</f>
        <v>21.322568601040395</v>
      </c>
      <c r="Y585" s="68"/>
      <c r="Z585" t="s">
        <v>2185</v>
      </c>
      <c r="AA585" s="3" t="s">
        <v>5</v>
      </c>
    </row>
    <row r="586" spans="1:29">
      <c r="A586" t="s">
        <v>1606</v>
      </c>
      <c r="B586" s="8" t="s">
        <v>1605</v>
      </c>
      <c r="C586" t="s">
        <v>196</v>
      </c>
      <c r="D586" s="7" t="s">
        <v>1604</v>
      </c>
      <c r="E586" s="1">
        <v>0.18</v>
      </c>
      <c r="G586" s="1">
        <v>0.9</v>
      </c>
      <c r="I586" s="1">
        <v>1.76</v>
      </c>
      <c r="K586" s="1">
        <v>12.45</v>
      </c>
      <c r="L586" s="1">
        <v>15</v>
      </c>
      <c r="M586" s="1">
        <v>1.5</v>
      </c>
      <c r="N586" s="1">
        <v>6.75</v>
      </c>
      <c r="O586" s="1">
        <v>4.8000000000000001E-2</v>
      </c>
      <c r="Q586" s="118">
        <f t="shared" si="210"/>
        <v>0.51600225968640057</v>
      </c>
      <c r="R586" s="119">
        <f t="shared" si="211"/>
        <v>149.64065530905617</v>
      </c>
      <c r="S586" s="118" t="str">
        <f t="shared" si="212"/>
        <v/>
      </c>
      <c r="T586" s="118">
        <f t="shared" si="213"/>
        <v>10.125611813479861</v>
      </c>
      <c r="U586" s="118" t="e">
        <f t="shared" si="214"/>
        <v>#N/A</v>
      </c>
      <c r="V586" s="118" t="e">
        <f t="shared" si="215"/>
        <v>#N/A</v>
      </c>
      <c r="W586" s="118" t="e">
        <f t="shared" si="216"/>
        <v>#N/A</v>
      </c>
      <c r="X586" s="118">
        <f>IF(OR(N586="",R586=""),NA(),10*LOG10((G586+'CMOS FOM coeff. calculation'!$Q$3)^'CMOS FOM coeff. calculation'!$P$3*(1000*E586)^'CMOS FOM coeff. calculation'!$N$3*R586^'CMOS FOM coeff. calculation'!$O$3*N586^'CMOS FOM coeff. calculation'!$M$3))</f>
        <v>18.132392523319453</v>
      </c>
      <c r="Y586" s="68"/>
      <c r="Z586" t="s">
        <v>2186</v>
      </c>
      <c r="AA586" s="3" t="s">
        <v>5</v>
      </c>
    </row>
    <row r="587" spans="1:29">
      <c r="A587" t="s">
        <v>1606</v>
      </c>
      <c r="B587" s="8" t="s">
        <v>1608</v>
      </c>
      <c r="C587" t="s">
        <v>1609</v>
      </c>
      <c r="D587" s="7" t="s">
        <v>1607</v>
      </c>
      <c r="E587" s="1">
        <v>6.5000000000000002E-2</v>
      </c>
      <c r="F587" s="1">
        <v>12</v>
      </c>
      <c r="G587" s="1">
        <v>62</v>
      </c>
      <c r="H587" s="1">
        <v>-9.3000000000000007</v>
      </c>
      <c r="I587" s="1">
        <v>6.06</v>
      </c>
      <c r="J587" s="1">
        <v>-22.3</v>
      </c>
      <c r="L587" s="1">
        <v>18.899999999999999</v>
      </c>
      <c r="M587" s="1">
        <v>1.8</v>
      </c>
      <c r="N587" s="1">
        <v>45</v>
      </c>
      <c r="P587" s="1">
        <v>0.219</v>
      </c>
      <c r="Q587" s="118">
        <f t="shared" si="210"/>
        <v>3.0760815362768517</v>
      </c>
      <c r="R587" s="119">
        <f t="shared" si="211"/>
        <v>892.06364552028697</v>
      </c>
      <c r="S587" s="118">
        <f t="shared" si="212"/>
        <v>0.45119975306131943</v>
      </c>
      <c r="T587" s="118">
        <f t="shared" si="213"/>
        <v>14.269230789949548</v>
      </c>
      <c r="U587" s="118">
        <f t="shared" si="214"/>
        <v>-10.671959969790798</v>
      </c>
      <c r="V587" s="118">
        <f t="shared" si="215"/>
        <v>-22.949726478708342</v>
      </c>
      <c r="W587" s="118">
        <f t="shared" si="216"/>
        <v>-19.352455658549594</v>
      </c>
      <c r="X587" s="118">
        <f>IF(OR(N587="",R587=""),NA(),10*LOG10((G587+'CMOS FOM coeff. calculation'!$Q$3)^'CMOS FOM coeff. calculation'!$P$3*(1000*E587)^'CMOS FOM coeff. calculation'!$N$3*R587^'CMOS FOM coeff. calculation'!$O$3*N587^'CMOS FOM coeff. calculation'!$M$3))</f>
        <v>20.469505328318355</v>
      </c>
      <c r="Y587" s="68"/>
      <c r="Z587" t="s">
        <v>2187</v>
      </c>
      <c r="AA587" s="3" t="s">
        <v>1610</v>
      </c>
      <c r="AC587" s="3"/>
    </row>
    <row r="588" spans="1:29">
      <c r="A588" t="s">
        <v>1614</v>
      </c>
      <c r="B588" s="8" t="s">
        <v>1612</v>
      </c>
      <c r="C588" t="s">
        <v>1613</v>
      </c>
      <c r="D588" s="7" t="s">
        <v>1611</v>
      </c>
      <c r="E588" s="1">
        <v>0.18</v>
      </c>
      <c r="F588" s="1">
        <v>0.7</v>
      </c>
      <c r="G588" s="1">
        <v>1.1499999999999999</v>
      </c>
      <c r="H588" s="1">
        <v>-7.7</v>
      </c>
      <c r="I588" s="1">
        <v>3.9</v>
      </c>
      <c r="K588" s="1">
        <v>-9.9</v>
      </c>
      <c r="L588" s="1">
        <v>30</v>
      </c>
      <c r="M588" s="1">
        <v>1.8</v>
      </c>
      <c r="N588" s="1">
        <v>16.2</v>
      </c>
      <c r="P588" s="1">
        <v>0.32</v>
      </c>
      <c r="Q588" s="118">
        <f t="shared" si="210"/>
        <v>1.4561650807657964</v>
      </c>
      <c r="R588" s="119">
        <f t="shared" si="211"/>
        <v>422.28787342208096</v>
      </c>
      <c r="S588" s="118" t="str">
        <f t="shared" si="212"/>
        <v/>
      </c>
      <c r="T588" s="118">
        <f t="shared" si="213"/>
        <v>15.188870501481899</v>
      </c>
      <c r="U588" s="118">
        <f t="shared" si="214"/>
        <v>-15.705210368101044</v>
      </c>
      <c r="V588" s="118" t="e">
        <f t="shared" si="215"/>
        <v>#N/A</v>
      </c>
      <c r="W588" s="118" t="e">
        <f t="shared" si="216"/>
        <v>#N/A</v>
      </c>
      <c r="X588" s="118">
        <f>IF(OR(N588="",R588=""),NA(),10*LOG10((G588+'CMOS FOM coeff. calculation'!$Q$3)^'CMOS FOM coeff. calculation'!$P$3*(1000*E588)^'CMOS FOM coeff. calculation'!$N$3*R588^'CMOS FOM coeff. calculation'!$O$3*N588^'CMOS FOM coeff. calculation'!$M$3))</f>
        <v>13.459567610744221</v>
      </c>
      <c r="Y588" s="68"/>
      <c r="Z588" t="s">
        <v>2188</v>
      </c>
      <c r="AA588" s="3" t="s">
        <v>1615</v>
      </c>
    </row>
    <row r="589" spans="1:29">
      <c r="A589" t="s">
        <v>1620</v>
      </c>
      <c r="B589" s="8" t="s">
        <v>1618</v>
      </c>
      <c r="C589" t="s">
        <v>1619</v>
      </c>
      <c r="D589" s="7" t="s">
        <v>1617</v>
      </c>
      <c r="E589" s="1">
        <v>0.09</v>
      </c>
      <c r="F589" s="1">
        <v>6</v>
      </c>
      <c r="G589" s="1">
        <v>58.2</v>
      </c>
      <c r="H589" s="1">
        <v>-10</v>
      </c>
      <c r="I589" s="1">
        <v>5.4</v>
      </c>
      <c r="J589" s="1">
        <v>-16</v>
      </c>
      <c r="K589" s="1">
        <v>-7</v>
      </c>
      <c r="L589" s="1">
        <v>12.5</v>
      </c>
      <c r="M589" s="1">
        <v>1</v>
      </c>
      <c r="N589" s="1">
        <v>4.4000000000000004</v>
      </c>
      <c r="O589" s="1">
        <v>4.7E-2</v>
      </c>
      <c r="P589" s="1">
        <v>0.36199999999999999</v>
      </c>
      <c r="Q589" s="118">
        <f t="shared" si="210"/>
        <v>2.6143862472066797</v>
      </c>
      <c r="R589" s="119">
        <f t="shared" si="211"/>
        <v>758.17201168993711</v>
      </c>
      <c r="S589" s="118">
        <f t="shared" si="212"/>
        <v>0.42156472783586718</v>
      </c>
      <c r="T589" s="118">
        <f t="shared" si="213"/>
        <v>8.495819734260655</v>
      </c>
      <c r="U589" s="118">
        <f t="shared" si="214"/>
        <v>-5.9019822329818421</v>
      </c>
      <c r="V589" s="118">
        <f t="shared" si="215"/>
        <v>-14.288332747956517</v>
      </c>
      <c r="W589" s="118">
        <f t="shared" si="216"/>
        <v>-11.694495246677704</v>
      </c>
      <c r="X589" s="118">
        <f>IF(OR(N589="",R589=""),NA(),10*LOG10((G589+'CMOS FOM coeff. calculation'!$Q$3)^'CMOS FOM coeff. calculation'!$P$3*(1000*E589)^'CMOS FOM coeff. calculation'!$N$3*R589^'CMOS FOM coeff. calculation'!$O$3*N589^'CMOS FOM coeff. calculation'!$M$3))</f>
        <v>23.669653803407975</v>
      </c>
      <c r="Y589" s="68"/>
      <c r="Z589" t="s">
        <v>2189</v>
      </c>
      <c r="AA589" s="3" t="s">
        <v>5</v>
      </c>
    </row>
    <row r="590" spans="1:29">
      <c r="A590" t="s">
        <v>1620</v>
      </c>
      <c r="B590" s="8" t="s">
        <v>1622</v>
      </c>
      <c r="C590" t="s">
        <v>1623</v>
      </c>
      <c r="D590" s="7" t="s">
        <v>1621</v>
      </c>
      <c r="E590" s="1">
        <v>0.18</v>
      </c>
      <c r="F590" s="1">
        <v>2</v>
      </c>
      <c r="G590" s="1">
        <v>5</v>
      </c>
      <c r="H590" s="1">
        <v>-33</v>
      </c>
      <c r="I590" s="1">
        <v>0.95</v>
      </c>
      <c r="J590" s="1">
        <v>-7</v>
      </c>
      <c r="K590" s="1">
        <v>5</v>
      </c>
      <c r="L590" s="1">
        <v>11</v>
      </c>
      <c r="M590" s="1">
        <v>1.5</v>
      </c>
      <c r="N590" s="1">
        <v>12</v>
      </c>
      <c r="O590" s="1">
        <v>0.28999999999999998</v>
      </c>
      <c r="Q590" s="118">
        <f t="shared" si="210"/>
        <v>0.26561300251189413</v>
      </c>
      <c r="R590" s="119">
        <f t="shared" si="211"/>
        <v>77.027770728449298</v>
      </c>
      <c r="S590" s="118">
        <f t="shared" si="212"/>
        <v>2.3123602000126935</v>
      </c>
      <c r="T590" s="118">
        <f t="shared" si="213"/>
        <v>3.1096640348720381</v>
      </c>
      <c r="U590" s="118">
        <f t="shared" si="214"/>
        <v>-2.1062307159921008</v>
      </c>
      <c r="V590" s="118">
        <f t="shared" si="215"/>
        <v>-5.3408916006361</v>
      </c>
      <c r="W590" s="118">
        <f t="shared" si="216"/>
        <v>-4.3374582817561631</v>
      </c>
      <c r="X590" s="118">
        <f>IF(OR(N590="",R590=""),NA(),10*LOG10((G590+'CMOS FOM coeff. calculation'!$Q$3)^'CMOS FOM coeff. calculation'!$P$3*(1000*E590)^'CMOS FOM coeff. calculation'!$N$3*R590^'CMOS FOM coeff. calculation'!$O$3*N590^'CMOS FOM coeff. calculation'!$M$3))</f>
        <v>22.314743656110537</v>
      </c>
      <c r="Y590" s="68"/>
      <c r="Z590" t="s">
        <v>2190</v>
      </c>
      <c r="AA590" s="3" t="s">
        <v>1100</v>
      </c>
    </row>
    <row r="591" spans="1:29">
      <c r="E591" s="1">
        <v>0.18</v>
      </c>
      <c r="F591" s="1">
        <v>2.2999999999999998</v>
      </c>
      <c r="G591" s="1">
        <v>5</v>
      </c>
      <c r="H591" s="1">
        <v>-22</v>
      </c>
      <c r="I591" s="1">
        <v>1.9</v>
      </c>
      <c r="J591" s="1">
        <v>-7</v>
      </c>
      <c r="K591" s="1">
        <v>6.5</v>
      </c>
      <c r="L591" s="1">
        <v>9.3000000000000007</v>
      </c>
      <c r="M591" s="1">
        <v>1.5</v>
      </c>
      <c r="N591" s="1">
        <v>12</v>
      </c>
      <c r="Q591" s="118">
        <f t="shared" si="210"/>
        <v>0.62188130090168137</v>
      </c>
      <c r="R591" s="119">
        <f t="shared" si="211"/>
        <v>180.34557726148759</v>
      </c>
      <c r="S591" s="118">
        <f t="shared" si="212"/>
        <v>1.498717420964857</v>
      </c>
      <c r="T591" s="118">
        <f t="shared" si="213"/>
        <v>6.8042457070480875</v>
      </c>
      <c r="U591" s="118">
        <f t="shared" si="214"/>
        <v>-5.5984862536561115</v>
      </c>
      <c r="V591" s="118">
        <f t="shared" si="215"/>
        <v>-9.66325904020308</v>
      </c>
      <c r="W591" s="118">
        <f t="shared" si="216"/>
        <v>-8.4574995868111049</v>
      </c>
      <c r="X591" s="118">
        <f>IF(OR(N591="",R591=""),NA(),10*LOG10((G591+'CMOS FOM coeff. calculation'!$Q$3)^'CMOS FOM coeff. calculation'!$P$3*(1000*E591)^'CMOS FOM coeff. calculation'!$N$3*R591^'CMOS FOM coeff. calculation'!$O$3*N591^'CMOS FOM coeff. calculation'!$M$3))</f>
        <v>18.989620151152092</v>
      </c>
      <c r="Y591" s="68"/>
    </row>
    <row r="592" spans="1:29">
      <c r="A592" t="s">
        <v>1627</v>
      </c>
      <c r="B592" s="8" t="s">
        <v>1625</v>
      </c>
      <c r="C592" t="s">
        <v>1626</v>
      </c>
      <c r="D592" s="7" t="s">
        <v>1624</v>
      </c>
      <c r="E592" s="1">
        <v>0.09</v>
      </c>
      <c r="F592" s="1">
        <v>2.4</v>
      </c>
      <c r="G592" s="1">
        <v>1.4</v>
      </c>
      <c r="H592" s="1">
        <v>-15</v>
      </c>
      <c r="I592" s="1">
        <v>1.9</v>
      </c>
      <c r="K592" s="1">
        <v>-3</v>
      </c>
      <c r="L592" s="1">
        <v>24</v>
      </c>
      <c r="M592" s="1">
        <v>1</v>
      </c>
      <c r="N592" s="1">
        <v>9</v>
      </c>
      <c r="O592" s="1">
        <v>4.5999999999999999E-2</v>
      </c>
      <c r="Q592" s="118">
        <f t="shared" si="210"/>
        <v>0.55101023014918871</v>
      </c>
      <c r="R592" s="119">
        <f t="shared" si="211"/>
        <v>159.79296674326471</v>
      </c>
      <c r="S592" s="118" t="str">
        <f t="shared" si="212"/>
        <v/>
      </c>
      <c r="T592" s="118">
        <f t="shared" si="213"/>
        <v>13.561651288866736</v>
      </c>
      <c r="U592" s="118">
        <f t="shared" si="214"/>
        <v>-12.294280483161383</v>
      </c>
      <c r="V592" s="118" t="e">
        <f t="shared" si="215"/>
        <v>#N/A</v>
      </c>
      <c r="W592" s="118" t="e">
        <f t="shared" si="216"/>
        <v>#N/A</v>
      </c>
      <c r="X592" s="118">
        <f>IF(OR(N592="",R592=""),NA(),10*LOG10((G592+'CMOS FOM coeff. calculation'!$Q$3)^'CMOS FOM coeff. calculation'!$P$3*(1000*E592)^'CMOS FOM coeff. calculation'!$N$3*R592^'CMOS FOM coeff. calculation'!$O$3*N592^'CMOS FOM coeff. calculation'!$M$3))</f>
        <v>15.801685574191833</v>
      </c>
      <c r="Y592" s="68"/>
      <c r="Z592" t="s">
        <v>2191</v>
      </c>
      <c r="AA592" s="3" t="s">
        <v>5</v>
      </c>
    </row>
    <row r="593" spans="1:27">
      <c r="A593" t="s">
        <v>1636</v>
      </c>
      <c r="B593" s="8" t="s">
        <v>1635</v>
      </c>
      <c r="C593" t="s">
        <v>274</v>
      </c>
      <c r="D593" s="7" t="s">
        <v>1634</v>
      </c>
      <c r="E593" s="1">
        <v>6.5000000000000002E-2</v>
      </c>
      <c r="F593" s="1">
        <v>6</v>
      </c>
      <c r="G593" s="1">
        <v>21</v>
      </c>
      <c r="H593" s="1">
        <v>-10</v>
      </c>
      <c r="I593" s="1">
        <v>3.3</v>
      </c>
      <c r="J593" s="1">
        <v>-15</v>
      </c>
      <c r="K593" s="1">
        <v>-5</v>
      </c>
      <c r="L593" s="1">
        <v>17.899999999999999</v>
      </c>
      <c r="M593" s="1">
        <v>1.2</v>
      </c>
      <c r="N593" s="1">
        <v>5.6</v>
      </c>
      <c r="P593" s="1">
        <v>0.51</v>
      </c>
      <c r="Q593" s="118">
        <f t="shared" si="210"/>
        <v>1.1567219224387075</v>
      </c>
      <c r="R593" s="119">
        <f t="shared" si="211"/>
        <v>335.44935750722516</v>
      </c>
      <c r="S593" s="118">
        <f t="shared" si="212"/>
        <v>1.9182218231563606</v>
      </c>
      <c r="T593" s="118">
        <f t="shared" si="213"/>
        <v>10.139276368232494</v>
      </c>
      <c r="U593" s="118">
        <f t="shared" si="214"/>
        <v>-7.5454388669536812</v>
      </c>
      <c r="V593" s="118">
        <f t="shared" si="215"/>
        <v>-12.140682537678664</v>
      </c>
      <c r="W593" s="118">
        <f t="shared" si="216"/>
        <v>-9.5468450363998514</v>
      </c>
      <c r="X593" s="118">
        <f>IF(OR(N593="",R593=""),NA(),10*LOG10((G593+'CMOS FOM coeff. calculation'!$Q$3)^'CMOS FOM coeff. calculation'!$P$3*(1000*E593)^'CMOS FOM coeff. calculation'!$N$3*R593^'CMOS FOM coeff. calculation'!$O$3*N593^'CMOS FOM coeff. calculation'!$M$3))</f>
        <v>19.394228032451178</v>
      </c>
      <c r="Y593" s="68"/>
      <c r="Z593" t="s">
        <v>2192</v>
      </c>
      <c r="AA593" s="3" t="s">
        <v>5</v>
      </c>
    </row>
    <row r="594" spans="1:27">
      <c r="A594" t="s">
        <v>1640</v>
      </c>
      <c r="B594" s="8" t="s">
        <v>1642</v>
      </c>
      <c r="C594" t="s">
        <v>1643</v>
      </c>
      <c r="D594" s="7" t="s">
        <v>1641</v>
      </c>
      <c r="E594" s="1">
        <v>6.5000000000000002E-2</v>
      </c>
      <c r="F594" s="1">
        <v>2.79</v>
      </c>
      <c r="G594" s="1">
        <v>1.405</v>
      </c>
      <c r="H594" s="1">
        <v>-10</v>
      </c>
      <c r="I594" s="1">
        <v>1</v>
      </c>
      <c r="J594" s="1">
        <v>-24.5</v>
      </c>
      <c r="K594" s="1">
        <v>-13.6</v>
      </c>
      <c r="L594" s="1">
        <v>26</v>
      </c>
      <c r="M594" s="1">
        <v>1.2</v>
      </c>
      <c r="N594" s="1">
        <v>48</v>
      </c>
      <c r="O594" s="1">
        <v>3.5000000000000003E-2</v>
      </c>
      <c r="P594" s="1">
        <v>0.57999999999999996</v>
      </c>
      <c r="Q594" s="118">
        <f t="shared" si="210"/>
        <v>0.25957744084575368</v>
      </c>
      <c r="R594" s="119">
        <f t="shared" si="211"/>
        <v>75.277457845268572</v>
      </c>
      <c r="S594" s="118">
        <f t="shared" si="212"/>
        <v>1.4089894107304191</v>
      </c>
      <c r="T594" s="118">
        <f t="shared" si="213"/>
        <v>14.590120005487432</v>
      </c>
      <c r="U594" s="118">
        <f t="shared" si="214"/>
        <v>-13.104772661242107</v>
      </c>
      <c r="V594" s="118">
        <f t="shared" si="215"/>
        <v>-16.233197302424358</v>
      </c>
      <c r="W594" s="118">
        <f t="shared" si="216"/>
        <v>-14.747849958179033</v>
      </c>
      <c r="X594" s="118">
        <f>IF(OR(N594="",R594=""),NA(),10*LOG10((G594+'CMOS FOM coeff. calculation'!$Q$3)^'CMOS FOM coeff. calculation'!$P$3*(1000*E594)^'CMOS FOM coeff. calculation'!$N$3*R594^'CMOS FOM coeff. calculation'!$O$3*N594^'CMOS FOM coeff. calculation'!$M$3))</f>
        <v>16.303201982712451</v>
      </c>
      <c r="Y594" s="68"/>
      <c r="Z594" t="s">
        <v>2193</v>
      </c>
      <c r="AA594" s="3" t="s">
        <v>5</v>
      </c>
    </row>
    <row r="595" spans="1:27">
      <c r="A595" t="s">
        <v>1655</v>
      </c>
      <c r="B595" s="8" t="s">
        <v>1653</v>
      </c>
      <c r="C595" t="s">
        <v>1654</v>
      </c>
      <c r="D595" s="7" t="s">
        <v>1652</v>
      </c>
      <c r="E595" s="1">
        <v>0.18</v>
      </c>
      <c r="F595" s="1">
        <v>8.1</v>
      </c>
      <c r="G595" s="1">
        <v>5.65</v>
      </c>
      <c r="H595" s="1">
        <v>-10</v>
      </c>
      <c r="I595" s="1">
        <v>3.9</v>
      </c>
      <c r="K595" s="1">
        <v>10.1</v>
      </c>
      <c r="L595" s="1">
        <v>12.6</v>
      </c>
      <c r="M595" s="1">
        <v>1.8</v>
      </c>
      <c r="N595" s="1">
        <v>10.6</v>
      </c>
      <c r="P595" s="1">
        <v>1.27</v>
      </c>
      <c r="Q595" s="118">
        <f t="shared" si="210"/>
        <v>1.5392997274184652</v>
      </c>
      <c r="R595" s="119">
        <f t="shared" si="211"/>
        <v>446.3969209513549</v>
      </c>
      <c r="S595" s="118" t="str">
        <f t="shared" si="212"/>
        <v/>
      </c>
      <c r="T595" s="118">
        <f t="shared" si="213"/>
        <v>10.206961755404169</v>
      </c>
      <c r="U595" s="118">
        <f t="shared" si="214"/>
        <v>-7.1786783591420029</v>
      </c>
      <c r="V595" s="118" t="e">
        <f t="shared" si="215"/>
        <v>#N/A</v>
      </c>
      <c r="W595" s="118" t="e">
        <f t="shared" si="216"/>
        <v>#N/A</v>
      </c>
      <c r="X595" s="118">
        <f>IF(OR(N595="",R595=""),NA(),10*LOG10((G595+'CMOS FOM coeff. calculation'!$Q$3)^'CMOS FOM coeff. calculation'!$P$3*(1000*E595)^'CMOS FOM coeff. calculation'!$N$3*R595^'CMOS FOM coeff. calculation'!$O$3*N595^'CMOS FOM coeff. calculation'!$M$3))</f>
        <v>15.844015313859927</v>
      </c>
      <c r="Y595" s="68"/>
      <c r="Z595" t="s">
        <v>2194</v>
      </c>
      <c r="AA595" s="3" t="s">
        <v>5</v>
      </c>
    </row>
    <row r="596" spans="1:27">
      <c r="A596" t="s">
        <v>1659</v>
      </c>
      <c r="B596" s="8" t="s">
        <v>1657</v>
      </c>
      <c r="C596" t="s">
        <v>1658</v>
      </c>
      <c r="D596" s="7" t="s">
        <v>1656</v>
      </c>
      <c r="E596" s="1">
        <v>6.5000000000000002E-2</v>
      </c>
      <c r="F596" s="1">
        <v>36.9</v>
      </c>
      <c r="G596" s="1">
        <v>20.55</v>
      </c>
      <c r="H596" s="1">
        <v>-8</v>
      </c>
      <c r="I596" s="1">
        <v>4.5</v>
      </c>
      <c r="J596" s="1">
        <v>-18.3</v>
      </c>
      <c r="K596" s="1">
        <v>-6.9</v>
      </c>
      <c r="L596" s="1">
        <v>11.5</v>
      </c>
      <c r="M596" s="1">
        <v>1.5</v>
      </c>
      <c r="N596" s="1">
        <v>25.5</v>
      </c>
      <c r="P596" s="1">
        <v>0.16</v>
      </c>
      <c r="Q596" s="118">
        <f t="shared" si="210"/>
        <v>1.9569224297126366</v>
      </c>
      <c r="R596" s="119">
        <f t="shared" si="211"/>
        <v>567.50750461666462</v>
      </c>
      <c r="S596" s="118">
        <f t="shared" si="212"/>
        <v>0.19413852920372185</v>
      </c>
      <c r="T596" s="118">
        <f t="shared" si="213"/>
        <v>14.679946448486929</v>
      </c>
      <c r="U596" s="118">
        <f t="shared" si="214"/>
        <v>-9.4565252279567282</v>
      </c>
      <c r="V596" s="118">
        <f t="shared" si="215"/>
        <v>-22.160458542518757</v>
      </c>
      <c r="W596" s="118">
        <f t="shared" si="216"/>
        <v>-16.937037321988555</v>
      </c>
      <c r="X596" s="118">
        <f>IF(OR(N596="",R596=""),NA(),10*LOG10((G596+'CMOS FOM coeff. calculation'!$Q$3)^'CMOS FOM coeff. calculation'!$P$3*(1000*E596)^'CMOS FOM coeff. calculation'!$N$3*R596^'CMOS FOM coeff. calculation'!$O$3*N596^'CMOS FOM coeff. calculation'!$M$3))</f>
        <v>15.91066483374096</v>
      </c>
      <c r="Y596" s="68"/>
      <c r="Z596" t="s">
        <v>2195</v>
      </c>
      <c r="AA596" s="3" t="s">
        <v>5</v>
      </c>
    </row>
    <row r="597" spans="1:27">
      <c r="A597" t="s">
        <v>1663</v>
      </c>
      <c r="B597" s="8" t="s">
        <v>1661</v>
      </c>
      <c r="C597" t="s">
        <v>1662</v>
      </c>
      <c r="D597" s="7" t="s">
        <v>1660</v>
      </c>
      <c r="E597" s="1">
        <v>0.18</v>
      </c>
      <c r="F597" s="1">
        <v>11.5</v>
      </c>
      <c r="G597" s="1">
        <v>6.75</v>
      </c>
      <c r="H597" s="1">
        <v>-10</v>
      </c>
      <c r="I597" s="1">
        <v>2.2000000000000002</v>
      </c>
      <c r="K597" s="1">
        <v>-0.2</v>
      </c>
      <c r="L597" s="1">
        <v>14.7</v>
      </c>
      <c r="M597" s="1">
        <v>1.8</v>
      </c>
      <c r="N597" s="1">
        <v>18</v>
      </c>
      <c r="P597" s="1">
        <v>0.39</v>
      </c>
      <c r="Q597" s="118">
        <f t="shared" si="210"/>
        <v>0.68272049234843546</v>
      </c>
      <c r="R597" s="119">
        <f t="shared" si="211"/>
        <v>197.98894278104629</v>
      </c>
      <c r="S597" s="118" t="str">
        <f t="shared" si="212"/>
        <v/>
      </c>
      <c r="T597" s="118">
        <f t="shared" si="213"/>
        <v>6.9276791838572196</v>
      </c>
      <c r="U597" s="118">
        <f t="shared" si="214"/>
        <v>-3.3920197160118475</v>
      </c>
      <c r="V597" s="118" t="e">
        <f t="shared" si="215"/>
        <v>#N/A</v>
      </c>
      <c r="W597" s="118" t="e">
        <f t="shared" si="216"/>
        <v>#N/A</v>
      </c>
      <c r="X597" s="118">
        <f>IF(OR(N597="",R597=""),NA(),10*LOG10((G597+'CMOS FOM coeff. calculation'!$Q$3)^'CMOS FOM coeff. calculation'!$P$3*(1000*E597)^'CMOS FOM coeff. calculation'!$N$3*R597^'CMOS FOM coeff. calculation'!$O$3*N597^'CMOS FOM coeff. calculation'!$M$3))</f>
        <v>19.030274642084805</v>
      </c>
      <c r="Y597" s="68"/>
      <c r="Z597" t="s">
        <v>2196</v>
      </c>
      <c r="AA597" s="3" t="s">
        <v>5</v>
      </c>
    </row>
    <row r="598" spans="1:27">
      <c r="A598" t="s">
        <v>1667</v>
      </c>
      <c r="B598" s="8" t="s">
        <v>1665</v>
      </c>
      <c r="C598" t="s">
        <v>1666</v>
      </c>
      <c r="D598" s="7" t="s">
        <v>1664</v>
      </c>
      <c r="E598" s="1">
        <v>0.18</v>
      </c>
      <c r="F598" s="1">
        <v>0.3</v>
      </c>
      <c r="G598" s="1">
        <v>2.4500000000000002</v>
      </c>
      <c r="H598" s="1">
        <v>-18</v>
      </c>
      <c r="I598" s="1">
        <v>4.5</v>
      </c>
      <c r="L598" s="1">
        <v>14.7</v>
      </c>
      <c r="M598" s="1">
        <v>1.8</v>
      </c>
      <c r="N598" s="1">
        <v>0.57999999999999996</v>
      </c>
      <c r="P598" s="1">
        <v>0.39</v>
      </c>
      <c r="Q598" s="118">
        <f t="shared" si="210"/>
        <v>1.8821587816740886</v>
      </c>
      <c r="R598" s="119">
        <f t="shared" si="211"/>
        <v>545.82604668548572</v>
      </c>
      <c r="S598" s="118" t="str">
        <f t="shared" si="212"/>
        <v/>
      </c>
      <c r="T598" s="118">
        <f t="shared" si="213"/>
        <v>9.293248598294543</v>
      </c>
      <c r="U598" s="118">
        <f t="shared" si="214"/>
        <v>-11.036177749229001</v>
      </c>
      <c r="V598" s="118" t="e">
        <f t="shared" si="215"/>
        <v>#N/A</v>
      </c>
      <c r="W598" s="118" t="e">
        <f t="shared" si="216"/>
        <v>#N/A</v>
      </c>
      <c r="X598" s="118">
        <f>IF(OR(N598="",R598=""),NA(),10*LOG10((G598+'CMOS FOM coeff. calculation'!$Q$3)^'CMOS FOM coeff. calculation'!$P$3*(1000*E598)^'CMOS FOM coeff. calculation'!$N$3*R598^'CMOS FOM coeff. calculation'!$O$3*N598^'CMOS FOM coeff. calculation'!$M$3))</f>
        <v>16.05484799915029</v>
      </c>
      <c r="Y598" s="68"/>
      <c r="Z598" t="s">
        <v>2197</v>
      </c>
      <c r="AA598" s="3" t="s">
        <v>5</v>
      </c>
    </row>
    <row r="599" spans="1:27">
      <c r="A599" t="s">
        <v>1671</v>
      </c>
      <c r="B599" s="8" t="s">
        <v>1669</v>
      </c>
      <c r="C599" t="s">
        <v>1670</v>
      </c>
      <c r="D599" s="7" t="s">
        <v>1668</v>
      </c>
      <c r="E599" s="1">
        <v>0.18</v>
      </c>
      <c r="F599" s="1">
        <v>0.75</v>
      </c>
      <c r="G599" s="1">
        <v>4.625</v>
      </c>
      <c r="H599" s="1">
        <v>-7</v>
      </c>
      <c r="I599" s="1">
        <v>2.52</v>
      </c>
      <c r="K599" s="1">
        <v>-2</v>
      </c>
      <c r="L599" s="1">
        <v>25</v>
      </c>
      <c r="M599" s="1">
        <v>1.8</v>
      </c>
      <c r="N599" s="1">
        <v>45</v>
      </c>
      <c r="P599" s="1">
        <v>0.89</v>
      </c>
      <c r="Q599" s="118">
        <f t="shared" si="210"/>
        <v>0.78898255676557305</v>
      </c>
      <c r="R599" s="119">
        <f t="shared" si="211"/>
        <v>228.80494146201619</v>
      </c>
      <c r="S599" s="118" t="str">
        <f t="shared" si="212"/>
        <v/>
      </c>
      <c r="T599" s="118">
        <f t="shared" si="213"/>
        <v>9.9770040811253971</v>
      </c>
      <c r="U599" s="118">
        <f t="shared" si="214"/>
        <v>-10.393466536486397</v>
      </c>
      <c r="V599" s="118" t="e">
        <f t="shared" si="215"/>
        <v>#N/A</v>
      </c>
      <c r="W599" s="118" t="e">
        <f t="shared" si="216"/>
        <v>#N/A</v>
      </c>
      <c r="X599" s="118">
        <f>IF(OR(N599="",R599=""),NA(),10*LOG10((G599+'CMOS FOM coeff. calculation'!$Q$3)^'CMOS FOM coeff. calculation'!$P$3*(1000*E599)^'CMOS FOM coeff. calculation'!$N$3*R599^'CMOS FOM coeff. calculation'!$O$3*N599^'CMOS FOM coeff. calculation'!$M$3))</f>
        <v>16.739993609159804</v>
      </c>
      <c r="Y599" s="68"/>
      <c r="Z599" t="s">
        <v>2198</v>
      </c>
      <c r="AA599" s="3" t="s">
        <v>1100</v>
      </c>
    </row>
    <row r="600" spans="1:27">
      <c r="E600" s="1">
        <v>0.18</v>
      </c>
      <c r="F600" s="1">
        <v>0.75</v>
      </c>
      <c r="G600" s="1">
        <v>4.875</v>
      </c>
      <c r="H600" s="1">
        <v>-9</v>
      </c>
      <c r="I600" s="1">
        <v>1.85</v>
      </c>
      <c r="K600" s="1">
        <v>-9</v>
      </c>
      <c r="L600" s="1">
        <v>30</v>
      </c>
      <c r="M600" s="1">
        <v>1.8</v>
      </c>
      <c r="N600" s="1">
        <v>27</v>
      </c>
      <c r="P600" s="1">
        <v>0.74</v>
      </c>
      <c r="Q600" s="118">
        <f t="shared" si="210"/>
        <v>0.53161908076279307</v>
      </c>
      <c r="R600" s="119">
        <f t="shared" si="211"/>
        <v>154.16953342120999</v>
      </c>
      <c r="S600" s="118" t="str">
        <f t="shared" si="212"/>
        <v/>
      </c>
      <c r="T600" s="118">
        <f t="shared" si="213"/>
        <v>7.3704206138427732</v>
      </c>
      <c r="U600" s="118">
        <f t="shared" si="214"/>
        <v>-7.7868830692037729</v>
      </c>
      <c r="V600" s="118" t="e">
        <f t="shared" si="215"/>
        <v>#N/A</v>
      </c>
      <c r="W600" s="118" t="e">
        <f t="shared" si="216"/>
        <v>#N/A</v>
      </c>
      <c r="X600" s="118">
        <f>IF(OR(N600="",R600=""),NA(),10*LOG10((G600+'CMOS FOM coeff. calculation'!$Q$3)^'CMOS FOM coeff. calculation'!$P$3*(1000*E600)^'CMOS FOM coeff. calculation'!$N$3*R600^'CMOS FOM coeff. calculation'!$O$3*N600^'CMOS FOM coeff. calculation'!$M$3))</f>
        <v>18.841483917424384</v>
      </c>
      <c r="Y600" s="68"/>
    </row>
    <row r="601" spans="1:27">
      <c r="A601" t="s">
        <v>1675</v>
      </c>
      <c r="B601" s="8" t="s">
        <v>1673</v>
      </c>
      <c r="C601" t="s">
        <v>1674</v>
      </c>
      <c r="D601" s="7" t="s">
        <v>1672</v>
      </c>
      <c r="E601" s="1">
        <v>0.18</v>
      </c>
      <c r="F601" s="1">
        <v>1.4</v>
      </c>
      <c r="G601" s="1">
        <v>0.7</v>
      </c>
      <c r="H601" s="1">
        <v>-12.5</v>
      </c>
      <c r="I601" s="1">
        <v>3</v>
      </c>
      <c r="J601" s="1">
        <v>-20</v>
      </c>
      <c r="K601" s="1">
        <v>-13.3</v>
      </c>
      <c r="L601" s="1">
        <v>16.399999999999999</v>
      </c>
      <c r="M601" s="1">
        <v>1.8</v>
      </c>
      <c r="N601" s="1">
        <v>12.8</v>
      </c>
      <c r="O601" s="1">
        <v>3.7999999999999999E-2</v>
      </c>
      <c r="P601" s="1">
        <v>0.56999999999999995</v>
      </c>
      <c r="Q601" s="118">
        <f t="shared" si="210"/>
        <v>1.0185970247202509</v>
      </c>
      <c r="R601" s="119">
        <f t="shared" si="211"/>
        <v>295.39313716887278</v>
      </c>
      <c r="S601" s="118">
        <f t="shared" si="212"/>
        <v>0.42651583224016615</v>
      </c>
      <c r="T601" s="118">
        <f t="shared" si="213"/>
        <v>14.733103596878493</v>
      </c>
      <c r="U601" s="118">
        <f t="shared" si="214"/>
        <v>-14.246010144617699</v>
      </c>
      <c r="V601" s="118">
        <f t="shared" si="215"/>
        <v>-16.658588123476953</v>
      </c>
      <c r="W601" s="118">
        <f t="shared" si="216"/>
        <v>-16.171494671216159</v>
      </c>
      <c r="X601" s="118">
        <f>IF(OR(N601="",R601=""),NA(),10*LOG10((G601+'CMOS FOM coeff. calculation'!$Q$3)^'CMOS FOM coeff. calculation'!$P$3*(1000*E601)^'CMOS FOM coeff. calculation'!$N$3*R601^'CMOS FOM coeff. calculation'!$O$3*N601^'CMOS FOM coeff. calculation'!$M$3))</f>
        <v>14.802609354010023</v>
      </c>
      <c r="Y601" s="68"/>
      <c r="Z601" t="s">
        <v>2199</v>
      </c>
      <c r="AA601" s="3" t="s">
        <v>5</v>
      </c>
    </row>
    <row r="602" spans="1:27">
      <c r="A602" t="s">
        <v>1678</v>
      </c>
      <c r="B602" s="8" t="s">
        <v>1677</v>
      </c>
      <c r="C602" t="s">
        <v>1670</v>
      </c>
      <c r="D602" s="7" t="s">
        <v>1676</v>
      </c>
      <c r="E602" s="1">
        <v>0.18</v>
      </c>
      <c r="F602" s="1">
        <v>0.15</v>
      </c>
      <c r="G602" s="1">
        <v>4.5999999999999996</v>
      </c>
      <c r="H602" s="1">
        <v>-11</v>
      </c>
      <c r="I602" s="1">
        <v>2.87</v>
      </c>
      <c r="J602" s="1">
        <v>-14</v>
      </c>
      <c r="K602" s="1">
        <v>1</v>
      </c>
      <c r="L602" s="1">
        <v>20</v>
      </c>
      <c r="M602" s="1">
        <v>1.2</v>
      </c>
      <c r="N602" s="1">
        <v>22.8</v>
      </c>
      <c r="P602" s="1">
        <v>0.89</v>
      </c>
      <c r="Q602" s="118">
        <f t="shared" si="210"/>
        <v>0.94588077166323981</v>
      </c>
      <c r="R602" s="119">
        <f t="shared" si="211"/>
        <v>274.30542378233952</v>
      </c>
      <c r="S602" s="118">
        <f t="shared" si="212"/>
        <v>3.9412609884796228</v>
      </c>
      <c r="T602" s="118">
        <f t="shared" si="213"/>
        <v>9.7961278474351925</v>
      </c>
      <c r="U602" s="118">
        <f t="shared" si="214"/>
        <v>-12.542490317249587</v>
      </c>
      <c r="V602" s="118">
        <f t="shared" si="215"/>
        <v>-12.063894478061139</v>
      </c>
      <c r="W602" s="118">
        <f t="shared" si="216"/>
        <v>-14.810256947875533</v>
      </c>
      <c r="X602" s="118">
        <f>IF(OR(N602="",R602=""),NA(),10*LOG10((G602+'CMOS FOM coeff. calculation'!$Q$3)^'CMOS FOM coeff. calculation'!$P$3*(1000*E602)^'CMOS FOM coeff. calculation'!$N$3*R602^'CMOS FOM coeff. calculation'!$O$3*N602^'CMOS FOM coeff. calculation'!$M$3))</f>
        <v>16.610085272885797</v>
      </c>
      <c r="Y602" s="68"/>
      <c r="Z602" t="s">
        <v>2200</v>
      </c>
      <c r="AA602" s="3" t="s">
        <v>1100</v>
      </c>
    </row>
    <row r="603" spans="1:27">
      <c r="E603" s="1">
        <v>0.18</v>
      </c>
      <c r="F603" s="1">
        <v>0.22</v>
      </c>
      <c r="G603" s="1">
        <v>4.5999999999999996</v>
      </c>
      <c r="H603" s="1">
        <v>-17.5</v>
      </c>
      <c r="I603" s="1">
        <v>2.87</v>
      </c>
      <c r="J603" s="1">
        <v>-11</v>
      </c>
      <c r="K603" s="1">
        <v>4</v>
      </c>
      <c r="L603" s="1">
        <v>19</v>
      </c>
      <c r="M603" s="1">
        <v>1.2</v>
      </c>
      <c r="N603" s="1">
        <v>22.9</v>
      </c>
      <c r="Q603" s="118">
        <f t="shared" si="210"/>
        <v>0.94836112312115628</v>
      </c>
      <c r="R603" s="119">
        <f t="shared" si="211"/>
        <v>275.02472570513532</v>
      </c>
      <c r="S603" s="118">
        <f t="shared" si="212"/>
        <v>6.2301406213295039</v>
      </c>
      <c r="T603" s="118">
        <f t="shared" si="213"/>
        <v>9.8138367516611744</v>
      </c>
      <c r="U603" s="118">
        <f t="shared" si="214"/>
        <v>-12.005761148920486</v>
      </c>
      <c r="V603" s="118">
        <f t="shared" si="215"/>
        <v>-11.425063317783412</v>
      </c>
      <c r="W603" s="118">
        <f t="shared" si="216"/>
        <v>-13.616987715042724</v>
      </c>
      <c r="X603" s="118">
        <f>IF(OR(N603="",R603=""),NA(),10*LOG10((G603+'CMOS FOM coeff. calculation'!$Q$3)^'CMOS FOM coeff. calculation'!$P$3*(1000*E603)^'CMOS FOM coeff. calculation'!$N$3*R603^'CMOS FOM coeff. calculation'!$O$3*N603^'CMOS FOM coeff. calculation'!$M$3))</f>
        <v>16.596047894421847</v>
      </c>
      <c r="Y603" s="68"/>
    </row>
    <row r="604" spans="1:27">
      <c r="A604" t="s">
        <v>1689</v>
      </c>
      <c r="B604" s="8" t="s">
        <v>1687</v>
      </c>
      <c r="C604" t="s">
        <v>1688</v>
      </c>
      <c r="D604" s="7" t="s">
        <v>1686</v>
      </c>
      <c r="E604" s="1">
        <v>6.5000000000000002E-2</v>
      </c>
      <c r="F604" s="1">
        <v>2.4</v>
      </c>
      <c r="G604" s="1">
        <v>1.3</v>
      </c>
      <c r="H604" s="1">
        <v>-10</v>
      </c>
      <c r="I604" s="1">
        <v>1.7</v>
      </c>
      <c r="K604" s="1">
        <v>0</v>
      </c>
      <c r="L604" s="1">
        <v>18</v>
      </c>
      <c r="M604" s="1">
        <v>1.2</v>
      </c>
      <c r="N604" s="1">
        <v>13</v>
      </c>
      <c r="O604" s="1">
        <v>8.0000000000000002E-3</v>
      </c>
      <c r="Q604" s="118">
        <f t="shared" si="210"/>
        <v>0.48682402906410943</v>
      </c>
      <c r="R604" s="119">
        <f t="shared" si="211"/>
        <v>141.17896842859173</v>
      </c>
      <c r="S604" s="118" t="str">
        <f t="shared" si="212"/>
        <v/>
      </c>
      <c r="T604" s="118">
        <f t="shared" si="213"/>
        <v>15.655064133948217</v>
      </c>
      <c r="U604" s="118">
        <f t="shared" si="214"/>
        <v>-14.387693328242865</v>
      </c>
      <c r="V604" s="118" t="e">
        <f t="shared" si="215"/>
        <v>#N/A</v>
      </c>
      <c r="W604" s="118" t="e">
        <f t="shared" si="216"/>
        <v>#N/A</v>
      </c>
      <c r="X604" s="118">
        <f>IF(OR(N604="",R604=""),NA(),10*LOG10((G604+'CMOS FOM coeff. calculation'!$Q$3)^'CMOS FOM coeff. calculation'!$P$3*(1000*E604)^'CMOS FOM coeff. calculation'!$N$3*R604^'CMOS FOM coeff. calculation'!$O$3*N604^'CMOS FOM coeff. calculation'!$M$3))</f>
        <v>14.921210717013363</v>
      </c>
      <c r="Y604" s="68"/>
      <c r="Z604" t="s">
        <v>2201</v>
      </c>
      <c r="AA604" s="3" t="s">
        <v>5</v>
      </c>
    </row>
    <row r="605" spans="1:27">
      <c r="A605" t="s">
        <v>1689</v>
      </c>
      <c r="B605" s="8" t="s">
        <v>2068</v>
      </c>
      <c r="C605" t="s">
        <v>2069</v>
      </c>
      <c r="D605" s="7" t="s">
        <v>2070</v>
      </c>
      <c r="E605" s="1">
        <v>2.8000000000000001E-2</v>
      </c>
      <c r="F605" s="1">
        <v>3</v>
      </c>
      <c r="G605" s="1">
        <v>91</v>
      </c>
      <c r="H605" s="1">
        <v>-10</v>
      </c>
      <c r="I605" s="1">
        <v>5.3</v>
      </c>
      <c r="J605" s="1">
        <v>-43.8</v>
      </c>
      <c r="L605" s="1">
        <v>32</v>
      </c>
      <c r="M605" s="1">
        <v>2</v>
      </c>
      <c r="N605" s="1">
        <v>36</v>
      </c>
      <c r="P605" s="1">
        <v>0.28000000000000003</v>
      </c>
      <c r="Q605" s="118">
        <f t="shared" si="210"/>
        <v>2.3899495175930885</v>
      </c>
      <c r="R605" s="119">
        <f t="shared" si="211"/>
        <v>693.08536010199566</v>
      </c>
      <c r="S605" s="118">
        <f t="shared" si="212"/>
        <v>6.6027657862412603E-2</v>
      </c>
      <c r="T605" s="118">
        <f t="shared" si="213"/>
        <v>16.615845911183555</v>
      </c>
      <c r="U605" s="118">
        <f t="shared" si="214"/>
        <v>-15.025441728784681</v>
      </c>
      <c r="V605" s="118">
        <f t="shared" si="215"/>
        <v>-27.091766018543151</v>
      </c>
      <c r="W605" s="118">
        <f t="shared" si="216"/>
        <v>-25.501361836144277</v>
      </c>
      <c r="X605" s="118">
        <f>IF(OR(N605="",R605=""),NA(),10*LOG10((G605+'CMOS FOM coeff. calculation'!$Q$3)^'CMOS FOM coeff. calculation'!$P$3*(1000*E605)^'CMOS FOM coeff. calculation'!$N$3*R605^'CMOS FOM coeff. calculation'!$O$3*N605^'CMOS FOM coeff. calculation'!$M$3))</f>
        <v>21.890735485328232</v>
      </c>
      <c r="Y605" s="68"/>
      <c r="Z605" t="s">
        <v>2202</v>
      </c>
      <c r="AA605" s="3" t="s">
        <v>5</v>
      </c>
    </row>
    <row r="606" spans="1:27">
      <c r="A606" t="s">
        <v>1700</v>
      </c>
      <c r="B606" s="8" t="s">
        <v>1698</v>
      </c>
      <c r="C606" t="s">
        <v>1699</v>
      </c>
      <c r="D606" s="7" t="s">
        <v>1697</v>
      </c>
      <c r="E606" s="1">
        <v>6.5000000000000002E-2</v>
      </c>
      <c r="F606" s="1">
        <v>1.05</v>
      </c>
      <c r="G606" s="1">
        <v>0.625</v>
      </c>
      <c r="H606" s="1">
        <v>-10</v>
      </c>
      <c r="I606" s="1">
        <v>2.1</v>
      </c>
      <c r="K606" s="1">
        <v>5.5</v>
      </c>
      <c r="L606" s="1">
        <v>13</v>
      </c>
      <c r="M606" s="1">
        <v>1.2</v>
      </c>
      <c r="N606" s="1">
        <v>20.8</v>
      </c>
      <c r="O606" s="1">
        <v>1.4E-2</v>
      </c>
      <c r="P606" s="1">
        <v>0.42</v>
      </c>
      <c r="Q606" s="118">
        <f t="shared" si="210"/>
        <v>0.65461875357753607</v>
      </c>
      <c r="R606" s="119">
        <f t="shared" si="211"/>
        <v>189.83943853748545</v>
      </c>
      <c r="S606" s="118" t="str">
        <f t="shared" si="212"/>
        <v/>
      </c>
      <c r="T606" s="118">
        <f t="shared" si="213"/>
        <v>19.74205067425715</v>
      </c>
      <c r="U606" s="118">
        <f t="shared" si="214"/>
        <v>-19.671419677357356</v>
      </c>
      <c r="V606" s="118" t="e">
        <f t="shared" si="215"/>
        <v>#N/A</v>
      </c>
      <c r="W606" s="118" t="e">
        <f t="shared" si="216"/>
        <v>#N/A</v>
      </c>
      <c r="X606" s="118">
        <f>IF(OR(N606="",R606=""),NA(),10*LOG10((G606+'CMOS FOM coeff. calculation'!$Q$3)^'CMOS FOM coeff. calculation'!$P$3*(1000*E606)^'CMOS FOM coeff. calculation'!$N$3*R606^'CMOS FOM coeff. calculation'!$O$3*N606^'CMOS FOM coeff. calculation'!$M$3))</f>
        <v>12.968682900487995</v>
      </c>
      <c r="Y606" s="68"/>
      <c r="Z606" t="s">
        <v>2203</v>
      </c>
      <c r="AA606" s="3" t="s">
        <v>5</v>
      </c>
    </row>
    <row r="607" spans="1:27">
      <c r="A607" t="s">
        <v>1708</v>
      </c>
      <c r="B607" s="8" t="s">
        <v>1706</v>
      </c>
      <c r="C607" t="s">
        <v>1707</v>
      </c>
      <c r="D607" s="7" t="s">
        <v>1705</v>
      </c>
      <c r="E607" s="1">
        <v>0.09</v>
      </c>
      <c r="F607" s="1">
        <v>0.08</v>
      </c>
      <c r="G607" s="1">
        <v>1.3</v>
      </c>
      <c r="H607" s="1">
        <v>-14</v>
      </c>
      <c r="I607" s="1">
        <v>1.36</v>
      </c>
      <c r="J607" s="1">
        <v>1.3</v>
      </c>
      <c r="K607" s="1">
        <v>18.3</v>
      </c>
      <c r="L607" s="1">
        <v>15.4</v>
      </c>
      <c r="M607" s="1">
        <v>3.3</v>
      </c>
      <c r="N607" s="1">
        <v>132</v>
      </c>
      <c r="P607" s="1">
        <v>0.7</v>
      </c>
      <c r="Q607" s="118">
        <f t="shared" si="210"/>
        <v>0.37864918744818793</v>
      </c>
      <c r="R607" s="119">
        <f t="shared" si="211"/>
        <v>109.8082643599745</v>
      </c>
      <c r="S607" s="118">
        <f t="shared" si="212"/>
        <v>45.424551246128189</v>
      </c>
      <c r="T607" s="118">
        <f t="shared" si="213"/>
        <v>16.034760921442889</v>
      </c>
      <c r="U607" s="118">
        <f t="shared" si="214"/>
        <v>-19.691127631469744</v>
      </c>
      <c r="V607" s="118">
        <f t="shared" si="215"/>
        <v>-14.472991412746744</v>
      </c>
      <c r="W607" s="118">
        <f t="shared" si="216"/>
        <v>-18.129358122773599</v>
      </c>
      <c r="X607" s="118">
        <f>IF(OR(N607="",R607=""),NA(),10*LOG10((G607+'CMOS FOM coeff. calculation'!$Q$3)^'CMOS FOM coeff. calculation'!$P$3*(1000*E607)^'CMOS FOM coeff. calculation'!$N$3*R607^'CMOS FOM coeff. calculation'!$O$3*N607^'CMOS FOM coeff. calculation'!$M$3))</f>
        <v>14.879468423184827</v>
      </c>
      <c r="Y607" s="68"/>
      <c r="Z607" s="66" t="s">
        <v>2204</v>
      </c>
      <c r="AA607" s="3" t="s">
        <v>5</v>
      </c>
    </row>
    <row r="608" spans="1:27">
      <c r="A608" t="s">
        <v>1711</v>
      </c>
      <c r="B608" s="8" t="s">
        <v>1710</v>
      </c>
      <c r="C608" t="s">
        <v>714</v>
      </c>
      <c r="D608" s="7" t="s">
        <v>1709</v>
      </c>
      <c r="E608" s="1">
        <v>6.5000000000000002E-2</v>
      </c>
      <c r="F608" s="1">
        <v>18.600000000000001</v>
      </c>
      <c r="G608" s="1">
        <v>95.7</v>
      </c>
      <c r="H608" s="1">
        <v>-10</v>
      </c>
      <c r="I608" s="1">
        <v>7.2</v>
      </c>
      <c r="L608" s="1">
        <v>16.7</v>
      </c>
      <c r="M608" s="1">
        <v>1.8</v>
      </c>
      <c r="N608" s="1">
        <v>48.6</v>
      </c>
      <c r="O608" s="1">
        <v>0.05</v>
      </c>
      <c r="P608" s="1">
        <v>0.28999999999999998</v>
      </c>
      <c r="Q608" s="118">
        <f t="shared" si="210"/>
        <v>4.3408809924670804</v>
      </c>
      <c r="R608" s="119">
        <f t="shared" si="211"/>
        <v>1258.8554878154532</v>
      </c>
      <c r="S608" s="118" t="str">
        <f t="shared" si="212"/>
        <v/>
      </c>
      <c r="T608" s="118">
        <f t="shared" si="213"/>
        <v>14.619642019695876</v>
      </c>
      <c r="U608" s="118">
        <f t="shared" si="214"/>
        <v>-10.387932205636154</v>
      </c>
      <c r="V608" s="118" t="e">
        <f t="shared" si="215"/>
        <v>#N/A</v>
      </c>
      <c r="W608" s="118" t="e">
        <f t="shared" si="216"/>
        <v>#N/A</v>
      </c>
      <c r="X608" s="118">
        <f>IF(OR(N608="",R608=""),NA(),10*LOG10((G608+'CMOS FOM coeff. calculation'!$Q$3)^'CMOS FOM coeff. calculation'!$P$3*(1000*E608)^'CMOS FOM coeff. calculation'!$N$3*R608^'CMOS FOM coeff. calculation'!$O$3*N608^'CMOS FOM coeff. calculation'!$M$3))</f>
        <v>22.237291909039868</v>
      </c>
      <c r="Y608" s="68"/>
      <c r="Z608" t="s">
        <v>2205</v>
      </c>
      <c r="AA608" s="3" t="s">
        <v>5</v>
      </c>
    </row>
    <row r="609" spans="1:27">
      <c r="A609" t="s">
        <v>1719</v>
      </c>
      <c r="B609" s="8" t="s">
        <v>1724</v>
      </c>
      <c r="C609" t="s">
        <v>1725</v>
      </c>
      <c r="D609" s="7" t="s">
        <v>1723</v>
      </c>
      <c r="E609" s="1">
        <v>6.5000000000000002E-2</v>
      </c>
      <c r="F609" s="1">
        <v>20</v>
      </c>
      <c r="G609" s="1">
        <v>82.5</v>
      </c>
      <c r="H609" s="1">
        <v>-10</v>
      </c>
      <c r="I609" s="1">
        <v>6.8</v>
      </c>
      <c r="L609" s="1">
        <v>22</v>
      </c>
      <c r="M609" s="1">
        <v>1</v>
      </c>
      <c r="Q609" s="118">
        <f t="shared" si="210"/>
        <v>3.8103425594551199</v>
      </c>
      <c r="R609" s="119">
        <f t="shared" si="211"/>
        <v>1104.9993422419848</v>
      </c>
      <c r="S609" s="118" t="str">
        <f t="shared" si="212"/>
        <v/>
      </c>
      <c r="T609" s="118" t="e">
        <f t="shared" si="213"/>
        <v>#N/A</v>
      </c>
      <c r="U609" s="118" t="e">
        <f t="shared" si="214"/>
        <v>#N/A</v>
      </c>
      <c r="V609" s="118" t="e">
        <f t="shared" si="215"/>
        <v>#N/A</v>
      </c>
      <c r="W609" s="118" t="e">
        <f t="shared" si="216"/>
        <v>#N/A</v>
      </c>
      <c r="X609" s="118" t="e">
        <f>IF(OR(N609="",R609=""),NA(),10*LOG10((G609+'CMOS FOM coeff. calculation'!$Q$3)^'CMOS FOM coeff. calculation'!$P$3*(1000*E609)^'CMOS FOM coeff. calculation'!$N$3*R609^'CMOS FOM coeff. calculation'!$O$3*N609^'CMOS FOM coeff. calculation'!$M$3))</f>
        <v>#N/A</v>
      </c>
      <c r="Y609" s="68"/>
      <c r="Z609" t="s">
        <v>2206</v>
      </c>
      <c r="AA609" s="3" t="s">
        <v>5</v>
      </c>
    </row>
    <row r="610" spans="1:27">
      <c r="A610" t="s">
        <v>1729</v>
      </c>
      <c r="B610" s="8" t="s">
        <v>1727</v>
      </c>
      <c r="C610" t="s">
        <v>1728</v>
      </c>
      <c r="D610" s="7" t="s">
        <v>1726</v>
      </c>
      <c r="E610" s="1">
        <v>0.09</v>
      </c>
      <c r="F610" s="1">
        <v>6</v>
      </c>
      <c r="G610" s="1">
        <v>79.5</v>
      </c>
      <c r="H610" s="1">
        <v>-4</v>
      </c>
      <c r="I610" s="1">
        <v>4.8499999999999996</v>
      </c>
      <c r="J610" s="1">
        <v>-24.3</v>
      </c>
      <c r="L610" s="1">
        <v>21</v>
      </c>
      <c r="M610" s="1">
        <v>1</v>
      </c>
      <c r="N610" s="1">
        <v>8</v>
      </c>
      <c r="O610" s="1">
        <v>7.4999999999999997E-2</v>
      </c>
      <c r="P610" s="1">
        <v>0.19</v>
      </c>
      <c r="Q610" s="118">
        <f t="shared" si="210"/>
        <v>2.0713746267224846</v>
      </c>
      <c r="R610" s="119">
        <f t="shared" si="211"/>
        <v>600.69864174952056</v>
      </c>
      <c r="S610" s="118">
        <f t="shared" si="212"/>
        <v>0.46401978899622626</v>
      </c>
      <c r="T610" s="118">
        <f t="shared" si="213"/>
        <v>7.447205493656968</v>
      </c>
      <c r="U610" s="118">
        <f t="shared" si="214"/>
        <v>-4.8533679923781552</v>
      </c>
      <c r="V610" s="118">
        <f t="shared" si="215"/>
        <v>-14.417749236434583</v>
      </c>
      <c r="W610" s="118">
        <f t="shared" si="216"/>
        <v>-11.82391173515577</v>
      </c>
      <c r="X610" s="118">
        <f>IF(OR(N610="",R610=""),NA(),10*LOG10((G610+'CMOS FOM coeff. calculation'!$Q$3)^'CMOS FOM coeff. calculation'!$P$3*(1000*E610)^'CMOS FOM coeff. calculation'!$N$3*R610^'CMOS FOM coeff. calculation'!$O$3*N610^'CMOS FOM coeff. calculation'!$M$3))</f>
        <v>26.300399560230186</v>
      </c>
      <c r="Y610" s="68"/>
      <c r="Z610" s="66" t="s">
        <v>2207</v>
      </c>
      <c r="AA610" s="3" t="s">
        <v>5</v>
      </c>
    </row>
    <row r="611" spans="1:27">
      <c r="A611" t="s">
        <v>1729</v>
      </c>
      <c r="B611" s="8" t="s">
        <v>1731</v>
      </c>
      <c r="C611" t="s">
        <v>1732</v>
      </c>
      <c r="D611" s="7" t="s">
        <v>1730</v>
      </c>
      <c r="E611" s="1">
        <v>6.5000000000000002E-2</v>
      </c>
      <c r="F611" s="1">
        <v>4.0999999999999996</v>
      </c>
      <c r="G611" s="1">
        <v>64.95</v>
      </c>
      <c r="I611" s="1">
        <v>4.7</v>
      </c>
      <c r="J611" s="1">
        <v>-32.4</v>
      </c>
      <c r="L611" s="1">
        <v>31.4</v>
      </c>
      <c r="M611" s="1">
        <v>1.2</v>
      </c>
      <c r="N611" s="1">
        <v>6</v>
      </c>
      <c r="P611" s="1">
        <v>0.59399999999999997</v>
      </c>
      <c r="Q611" s="118">
        <f t="shared" si="210"/>
        <v>1.952623777547339</v>
      </c>
      <c r="R611" s="119">
        <f t="shared" si="211"/>
        <v>566.26089548872835</v>
      </c>
      <c r="S611" s="118">
        <f t="shared" si="212"/>
        <v>0.79375279478694449</v>
      </c>
      <c r="T611" s="118">
        <f t="shared" si="213"/>
        <v>9.2439841117535515</v>
      </c>
      <c r="U611" s="118">
        <f t="shared" si="214"/>
        <v>-7.2013712560210994</v>
      </c>
      <c r="V611" s="118">
        <f t="shared" si="215"/>
        <v>-14.257179095057079</v>
      </c>
      <c r="W611" s="118">
        <f t="shared" si="216"/>
        <v>-12.214566239324627</v>
      </c>
      <c r="X611" s="118">
        <f>IF(OR(N611="",R611=""),NA(),10*LOG10((G611+'CMOS FOM coeff. calculation'!$Q$3)^'CMOS FOM coeff. calculation'!$P$3*(1000*E611)^'CMOS FOM coeff. calculation'!$N$3*R611^'CMOS FOM coeff. calculation'!$O$3*N611^'CMOS FOM coeff. calculation'!$M$3))</f>
        <v>24.325960237013781</v>
      </c>
      <c r="Y611" s="68"/>
      <c r="Z611" t="s">
        <v>2208</v>
      </c>
      <c r="AA611" s="3" t="s">
        <v>2075</v>
      </c>
    </row>
    <row r="612" spans="1:27">
      <c r="A612" t="s">
        <v>1736</v>
      </c>
      <c r="B612" s="8" t="s">
        <v>1734</v>
      </c>
      <c r="C612" t="s">
        <v>1735</v>
      </c>
      <c r="D612" s="7" t="s">
        <v>1733</v>
      </c>
      <c r="E612" s="1">
        <v>6.5000000000000002E-2</v>
      </c>
      <c r="F612" s="1">
        <v>3</v>
      </c>
      <c r="G612" s="1">
        <v>1.7</v>
      </c>
      <c r="H612" s="1">
        <v>-10</v>
      </c>
      <c r="I612" s="1">
        <v>2.8</v>
      </c>
      <c r="K612" s="1">
        <v>-7.7</v>
      </c>
      <c r="L612" s="1">
        <v>21.2</v>
      </c>
      <c r="M612" s="1">
        <v>1.2</v>
      </c>
      <c r="N612" s="1">
        <v>2</v>
      </c>
      <c r="O612" s="1">
        <v>0.05</v>
      </c>
      <c r="Q612" s="118">
        <f t="shared" si="210"/>
        <v>0.91238184201541439</v>
      </c>
      <c r="R612" s="119">
        <f t="shared" si="211"/>
        <v>264.59073418447019</v>
      </c>
      <c r="S612" s="118" t="str">
        <f t="shared" si="212"/>
        <v/>
      </c>
      <c r="T612" s="118">
        <f t="shared" si="213"/>
        <v>14.896695422541942</v>
      </c>
      <c r="U612" s="118">
        <f t="shared" si="214"/>
        <v>-13.306291240143068</v>
      </c>
      <c r="V612" s="118" t="e">
        <f t="shared" si="215"/>
        <v>#N/A</v>
      </c>
      <c r="W612" s="118" t="e">
        <f t="shared" si="216"/>
        <v>#N/A</v>
      </c>
      <c r="X612" s="118">
        <f>IF(OR(N612="",R612=""),NA(),10*LOG10((G612+'CMOS FOM coeff. calculation'!$Q$3)^'CMOS FOM coeff. calculation'!$P$3*(1000*E612)^'CMOS FOM coeff. calculation'!$N$3*R612^'CMOS FOM coeff. calculation'!$O$3*N612^'CMOS FOM coeff. calculation'!$M$3))</f>
        <v>14.313104309210736</v>
      </c>
      <c r="Y612" s="68"/>
      <c r="Z612" t="s">
        <v>2209</v>
      </c>
      <c r="AA612" s="3" t="s">
        <v>5</v>
      </c>
    </row>
    <row r="613" spans="1:27">
      <c r="A613" t="s">
        <v>1740</v>
      </c>
      <c r="B613" s="8" t="s">
        <v>1738</v>
      </c>
      <c r="C613" t="s">
        <v>1739</v>
      </c>
      <c r="D613" s="7" t="s">
        <v>1737</v>
      </c>
      <c r="E613" s="1">
        <v>0.18</v>
      </c>
      <c r="F613" s="1">
        <v>0.6</v>
      </c>
      <c r="G613" s="1">
        <v>0.7</v>
      </c>
      <c r="H613" s="1">
        <v>-10</v>
      </c>
      <c r="I613" s="1">
        <v>4.2</v>
      </c>
      <c r="K613" s="1">
        <v>-21</v>
      </c>
      <c r="L613" s="1">
        <v>18</v>
      </c>
      <c r="M613" s="1">
        <v>1</v>
      </c>
      <c r="N613" s="1">
        <v>0.2</v>
      </c>
      <c r="P613" s="1">
        <v>0.27</v>
      </c>
      <c r="Q613" s="118">
        <f t="shared" si="210"/>
        <v>1.6565220978559152</v>
      </c>
      <c r="R613" s="119">
        <f t="shared" si="211"/>
        <v>480.39140837821543</v>
      </c>
      <c r="S613" s="118" t="str">
        <f t="shared" si="212"/>
        <v/>
      </c>
      <c r="T613" s="118">
        <f t="shared" si="213"/>
        <v>10.824451987800611</v>
      </c>
      <c r="U613" s="118">
        <f t="shared" si="214"/>
        <v>-11.563947819855132</v>
      </c>
      <c r="V613" s="118" t="e">
        <f t="shared" si="215"/>
        <v>#N/A</v>
      </c>
      <c r="W613" s="118" t="e">
        <f t="shared" si="216"/>
        <v>#N/A</v>
      </c>
      <c r="X613" s="118">
        <f>IF(OR(N613="",R613=""),NA(),10*LOG10((G613+'CMOS FOM coeff. calculation'!$Q$3)^'CMOS FOM coeff. calculation'!$P$3*(1000*E613)^'CMOS FOM coeff. calculation'!$N$3*R613^'CMOS FOM coeff. calculation'!$O$3*N613^'CMOS FOM coeff. calculation'!$M$3))</f>
        <v>16.514215828196235</v>
      </c>
      <c r="Y613" s="68"/>
      <c r="Z613" t="s">
        <v>2210</v>
      </c>
      <c r="AA613" s="3" t="s">
        <v>5</v>
      </c>
    </row>
    <row r="614" spans="1:27">
      <c r="A614" t="s">
        <v>1740</v>
      </c>
      <c r="B614" t="s">
        <v>2071</v>
      </c>
      <c r="C614" t="s">
        <v>2072</v>
      </c>
      <c r="D614" s="7" t="s">
        <v>2073</v>
      </c>
      <c r="E614" s="1">
        <v>2.8000000000000001E-2</v>
      </c>
      <c r="F614" s="1">
        <v>22</v>
      </c>
      <c r="G614" s="1">
        <v>63</v>
      </c>
      <c r="H614" s="1">
        <v>-10</v>
      </c>
      <c r="I614" s="1">
        <v>6</v>
      </c>
      <c r="J614" s="1">
        <v>-16.8</v>
      </c>
      <c r="L614" s="1">
        <v>17.7</v>
      </c>
      <c r="N614" s="1">
        <v>38.200000000000003</v>
      </c>
      <c r="P614" s="1">
        <v>0.45600000000000002</v>
      </c>
      <c r="Q614" s="118">
        <f t="shared" si="210"/>
        <v>3.0325721699169081</v>
      </c>
      <c r="R614" s="119">
        <f t="shared" si="211"/>
        <v>879.44592927590338</v>
      </c>
      <c r="S614" s="118">
        <f t="shared" si="212"/>
        <v>1.2093758095038412</v>
      </c>
      <c r="T614" s="118">
        <f t="shared" si="213"/>
        <v>18.800611913230362</v>
      </c>
      <c r="U614" s="118">
        <f t="shared" si="214"/>
        <v>-14.325869643823008</v>
      </c>
      <c r="V614" s="118">
        <f t="shared" si="215"/>
        <v>-24.620614134265267</v>
      </c>
      <c r="W614" s="118">
        <f t="shared" si="216"/>
        <v>-20.145871864857913</v>
      </c>
      <c r="X614" s="118">
        <f>IF(OR(N614="",R614=""),NA(),10*LOG10((G614+'CMOS FOM coeff. calculation'!$Q$3)^'CMOS FOM coeff. calculation'!$P$3*(1000*E614)^'CMOS FOM coeff. calculation'!$N$3*R614^'CMOS FOM coeff. calculation'!$O$3*N614^'CMOS FOM coeff. calculation'!$M$3))</f>
        <v>18.220443213195917</v>
      </c>
      <c r="Y614" s="68"/>
      <c r="Z614" t="s">
        <v>2211</v>
      </c>
      <c r="AA614" s="3" t="s">
        <v>5</v>
      </c>
    </row>
    <row r="615" spans="1:27">
      <c r="A615" t="s">
        <v>1744</v>
      </c>
      <c r="B615" s="8" t="s">
        <v>1746</v>
      </c>
      <c r="C615" t="s">
        <v>1747</v>
      </c>
      <c r="D615" s="7" t="s">
        <v>1745</v>
      </c>
      <c r="E615" s="1">
        <v>0.13</v>
      </c>
      <c r="F615" s="1">
        <v>9</v>
      </c>
      <c r="G615" s="1">
        <v>7.5</v>
      </c>
      <c r="H615" s="1">
        <v>-11</v>
      </c>
      <c r="I615" s="1">
        <v>3.8</v>
      </c>
      <c r="J615" s="1">
        <v>-20</v>
      </c>
      <c r="K615" s="1">
        <v>-7</v>
      </c>
      <c r="L615" s="1">
        <v>15</v>
      </c>
      <c r="M615" s="1">
        <v>1.2</v>
      </c>
      <c r="N615" s="1">
        <v>8.5</v>
      </c>
      <c r="P615" s="1">
        <v>0.86</v>
      </c>
      <c r="Q615" s="118">
        <f t="shared" si="210"/>
        <v>1.4445124123330584</v>
      </c>
      <c r="R615" s="119">
        <f t="shared" si="211"/>
        <v>418.90859957658694</v>
      </c>
      <c r="S615" s="118">
        <f t="shared" si="212"/>
        <v>0.30622776601683804</v>
      </c>
      <c r="T615" s="118">
        <f t="shared" si="213"/>
        <v>10.675622745477146</v>
      </c>
      <c r="U615" s="118">
        <f t="shared" si="214"/>
        <v>-7.4948143806793954</v>
      </c>
      <c r="V615" s="118">
        <f t="shared" si="215"/>
        <v>-15.450219329793429</v>
      </c>
      <c r="W615" s="118">
        <f t="shared" si="216"/>
        <v>-12.269410964995679</v>
      </c>
      <c r="X615" s="118">
        <f>IF(OR(N615="",R615=""),NA(),10*LOG10((G615+'CMOS FOM coeff. calculation'!$Q$3)^'CMOS FOM coeff. calculation'!$P$3*(1000*E615)^'CMOS FOM coeff. calculation'!$N$3*R615^'CMOS FOM coeff. calculation'!$O$3*N615^'CMOS FOM coeff. calculation'!$M$3))</f>
        <v>16.068886808780462</v>
      </c>
      <c r="Y615" s="68"/>
      <c r="Z615" t="s">
        <v>2212</v>
      </c>
      <c r="AA615" s="3" t="s">
        <v>5</v>
      </c>
    </row>
    <row r="616" spans="1:27">
      <c r="A616" t="s">
        <v>1751</v>
      </c>
      <c r="B616" s="8" t="s">
        <v>1749</v>
      </c>
      <c r="C616" t="s">
        <v>1750</v>
      </c>
      <c r="D616" s="7" t="s">
        <v>1748</v>
      </c>
      <c r="E616" s="1">
        <v>6.5000000000000002E-2</v>
      </c>
      <c r="F616" s="1">
        <v>21.4</v>
      </c>
      <c r="G616" s="1">
        <v>18.3</v>
      </c>
      <c r="H616" s="1">
        <v>-7</v>
      </c>
      <c r="I616" s="1">
        <v>4.5</v>
      </c>
      <c r="K616" s="1">
        <v>1.4</v>
      </c>
      <c r="L616" s="1">
        <v>10.7</v>
      </c>
      <c r="M616" s="1">
        <v>1</v>
      </c>
      <c r="N616" s="1">
        <v>12.1</v>
      </c>
      <c r="P616" s="1">
        <v>0.3</v>
      </c>
      <c r="Q616" s="118">
        <f t="shared" si="210"/>
        <v>1.9875509531757845</v>
      </c>
      <c r="R616" s="119">
        <f t="shared" si="211"/>
        <v>576.38977642097746</v>
      </c>
      <c r="S616" s="118" t="str">
        <f t="shared" si="212"/>
        <v/>
      </c>
      <c r="T616" s="118">
        <f t="shared" si="213"/>
        <v>14.003948592091069</v>
      </c>
      <c r="U616" s="118">
        <f t="shared" si="214"/>
        <v>-9.5692360142604329</v>
      </c>
      <c r="V616" s="118" t="e">
        <f t="shared" si="215"/>
        <v>#N/A</v>
      </c>
      <c r="W616" s="118" t="e">
        <f t="shared" si="216"/>
        <v>#N/A</v>
      </c>
      <c r="X616" s="118">
        <f>IF(OR(N616="",R616=""),NA(),10*LOG10((G616+'CMOS FOM coeff. calculation'!$Q$3)^'CMOS FOM coeff. calculation'!$P$3*(1000*E616)^'CMOS FOM coeff. calculation'!$N$3*R616^'CMOS FOM coeff. calculation'!$O$3*N616^'CMOS FOM coeff. calculation'!$M$3))</f>
        <v>15.916043554324514</v>
      </c>
      <c r="Y616" s="68"/>
      <c r="Z616" t="s">
        <v>2213</v>
      </c>
      <c r="AA616" s="3" t="s">
        <v>5</v>
      </c>
    </row>
    <row r="617" spans="1:27">
      <c r="A617" t="s">
        <v>1754</v>
      </c>
      <c r="B617" s="8" t="s">
        <v>1753</v>
      </c>
      <c r="C617" t="s">
        <v>1750</v>
      </c>
      <c r="D617" s="7" t="s">
        <v>1752</v>
      </c>
      <c r="E617" s="1">
        <v>6.5000000000000002E-2</v>
      </c>
      <c r="F617" s="1">
        <v>11.8</v>
      </c>
      <c r="G617" s="1">
        <v>23.7</v>
      </c>
      <c r="H617" s="1">
        <v>-10</v>
      </c>
      <c r="I617" s="1">
        <v>3.3</v>
      </c>
      <c r="K617" s="1">
        <v>-0.5</v>
      </c>
      <c r="L617" s="1">
        <v>10.199999999999999</v>
      </c>
      <c r="N617" s="1">
        <v>12.4</v>
      </c>
      <c r="P617" s="1">
        <v>0.18</v>
      </c>
      <c r="Q617" s="118">
        <f t="shared" si="210"/>
        <v>1.2581107316104285</v>
      </c>
      <c r="R617" s="119">
        <f t="shared" si="211"/>
        <v>364.85211216702425</v>
      </c>
      <c r="S617" s="118" t="str">
        <f t="shared" si="212"/>
        <v/>
      </c>
      <c r="T617" s="118">
        <f t="shared" si="213"/>
        <v>11.304760557300391</v>
      </c>
      <c r="U617" s="118">
        <f t="shared" si="214"/>
        <v>-7.7318205329466396</v>
      </c>
      <c r="V617" s="118" t="e">
        <f t="shared" si="215"/>
        <v>#N/A</v>
      </c>
      <c r="W617" s="118" t="e">
        <f t="shared" si="216"/>
        <v>#N/A</v>
      </c>
      <c r="X617" s="118">
        <f>IF(OR(N617="",R617=""),NA(),10*LOG10((G617+'CMOS FOM coeff. calculation'!$Q$3)^'CMOS FOM coeff. calculation'!$P$3*(1000*E617)^'CMOS FOM coeff. calculation'!$N$3*R617^'CMOS FOM coeff. calculation'!$O$3*N617^'CMOS FOM coeff. calculation'!$M$3))</f>
        <v>19.017282542587822</v>
      </c>
      <c r="Y617" s="68"/>
      <c r="Z617" t="s">
        <v>2214</v>
      </c>
      <c r="AA617" s="3" t="s">
        <v>5</v>
      </c>
    </row>
    <row r="618" spans="1:27">
      <c r="A618" t="s">
        <v>1778</v>
      </c>
      <c r="B618" s="8" t="s">
        <v>1776</v>
      </c>
      <c r="C618" t="s">
        <v>1777</v>
      </c>
      <c r="D618" s="7" t="s">
        <v>1775</v>
      </c>
      <c r="E618" s="1">
        <v>6.5000000000000002E-2</v>
      </c>
      <c r="F618" s="1">
        <v>4</v>
      </c>
      <c r="G618" s="1">
        <v>31.1</v>
      </c>
      <c r="H618" s="1">
        <v>-11</v>
      </c>
      <c r="I618" s="1">
        <v>3.71</v>
      </c>
      <c r="J618" s="1">
        <v>-20.399999999999999</v>
      </c>
      <c r="L618" s="1">
        <v>20.8</v>
      </c>
      <c r="N618" s="1">
        <v>26.7</v>
      </c>
      <c r="O618" s="1">
        <v>0.2</v>
      </c>
      <c r="P618" s="1">
        <v>0.39</v>
      </c>
      <c r="Q618" s="118">
        <f t="shared" si="210"/>
        <v>1.3609527326200728</v>
      </c>
      <c r="R618" s="119">
        <f t="shared" si="211"/>
        <v>394.67629245982113</v>
      </c>
      <c r="S618" s="118">
        <f t="shared" si="212"/>
        <v>1.0873580877496254</v>
      </c>
      <c r="T618" s="118">
        <f t="shared" si="213"/>
        <v>11.969553941884373</v>
      </c>
      <c r="U618" s="118">
        <f t="shared" si="214"/>
        <v>-9.9626873041244988</v>
      </c>
      <c r="V618" s="118">
        <f t="shared" si="215"/>
        <v>-17.622262001684049</v>
      </c>
      <c r="W618" s="118">
        <f t="shared" si="216"/>
        <v>-15.615395363924176</v>
      </c>
      <c r="X618" s="118">
        <f>IF(OR(N618="",R618=""),NA(),10*LOG10((G618+'CMOS FOM coeff. calculation'!$Q$3)^'CMOS FOM coeff. calculation'!$P$3*(1000*E618)^'CMOS FOM coeff. calculation'!$N$3*R618^'CMOS FOM coeff. calculation'!$O$3*N618^'CMOS FOM coeff. calculation'!$M$3))</f>
        <v>19.593165655459366</v>
      </c>
      <c r="Y618" s="68"/>
      <c r="Z618" t="s">
        <v>2215</v>
      </c>
      <c r="AA618" s="3" t="s">
        <v>1629</v>
      </c>
    </row>
    <row r="619" spans="1:27">
      <c r="A619" t="s">
        <v>1778</v>
      </c>
      <c r="B619" s="8" t="s">
        <v>1783</v>
      </c>
      <c r="C619" t="s">
        <v>1784</v>
      </c>
      <c r="D619" s="8" t="s">
        <v>1782</v>
      </c>
      <c r="E619" s="1">
        <v>6.5000000000000002E-2</v>
      </c>
      <c r="F619" s="1">
        <v>9</v>
      </c>
      <c r="G619" s="1">
        <v>59.5</v>
      </c>
      <c r="H619" s="1">
        <v>-7</v>
      </c>
      <c r="I619" s="1">
        <v>3.6</v>
      </c>
      <c r="J619" s="1">
        <v>-17.8</v>
      </c>
      <c r="L619" s="1">
        <v>12.8</v>
      </c>
      <c r="M619" s="1">
        <v>1</v>
      </c>
      <c r="N619" s="1">
        <v>8.8000000000000007</v>
      </c>
      <c r="O619" s="1">
        <v>0.23</v>
      </c>
      <c r="P619" s="1">
        <v>0.33</v>
      </c>
      <c r="Q619" s="118">
        <f t="shared" si="210"/>
        <v>1.362365616690467</v>
      </c>
      <c r="R619" s="119">
        <f t="shared" si="211"/>
        <v>395.08602884023543</v>
      </c>
      <c r="S619" s="118">
        <f t="shared" si="212"/>
        <v>0.29963189694246212</v>
      </c>
      <c r="T619" s="118">
        <f t="shared" si="213"/>
        <v>8.4889211243282805</v>
      </c>
      <c r="U619" s="118">
        <f t="shared" si="214"/>
        <v>-5.3081127595305304</v>
      </c>
      <c r="V619" s="118">
        <f t="shared" si="215"/>
        <v>-15.340004293501678</v>
      </c>
      <c r="W619" s="118">
        <f t="shared" si="216"/>
        <v>-12.159195928703928</v>
      </c>
      <c r="X619" s="118">
        <f>IF(OR(N619="",R619=""),NA(),10*LOG10((G619+'CMOS FOM coeff. calculation'!$Q$3)^'CMOS FOM coeff. calculation'!$P$3*(1000*E619)^'CMOS FOM coeff. calculation'!$N$3*R619^'CMOS FOM coeff. calculation'!$O$3*N619^'CMOS FOM coeff. calculation'!$M$3))</f>
        <v>24.780552858759563</v>
      </c>
      <c r="Y619" s="68"/>
      <c r="Z619" t="s">
        <v>2216</v>
      </c>
      <c r="AA619" s="3" t="s">
        <v>5</v>
      </c>
    </row>
    <row r="620" spans="1:27">
      <c r="A620" t="s">
        <v>1795</v>
      </c>
      <c r="B620" s="8" t="s">
        <v>1794</v>
      </c>
      <c r="C620" t="s">
        <v>1361</v>
      </c>
      <c r="D620" s="7" t="s">
        <v>1793</v>
      </c>
      <c r="E620" s="1">
        <v>6.5000000000000002E-2</v>
      </c>
      <c r="F620" s="1">
        <v>3</v>
      </c>
      <c r="G620" s="1">
        <v>23.5</v>
      </c>
      <c r="H620" s="1">
        <v>-10</v>
      </c>
      <c r="I620" s="1">
        <v>3.3</v>
      </c>
      <c r="J620" s="1">
        <v>-18</v>
      </c>
      <c r="K620" s="1">
        <v>-7</v>
      </c>
      <c r="L620" s="1">
        <v>23.5</v>
      </c>
      <c r="M620" s="1">
        <v>1.2</v>
      </c>
      <c r="N620" s="1">
        <v>12</v>
      </c>
      <c r="O620" s="1">
        <v>9.6000000000000002E-2</v>
      </c>
      <c r="P620" s="1">
        <v>0.15</v>
      </c>
      <c r="Q620" s="118">
        <f t="shared" si="210"/>
        <v>1.143067986645709</v>
      </c>
      <c r="R620" s="119">
        <f t="shared" si="211"/>
        <v>331.48971612725558</v>
      </c>
      <c r="S620" s="118">
        <f t="shared" si="212"/>
        <v>3.5322849604111437</v>
      </c>
      <c r="T620" s="118">
        <f t="shared" si="213"/>
        <v>10.86536093489207</v>
      </c>
      <c r="U620" s="118">
        <f t="shared" si="214"/>
        <v>-9.2749567524931962</v>
      </c>
      <c r="V620" s="118">
        <f t="shared" si="215"/>
        <v>-13.249050044082471</v>
      </c>
      <c r="W620" s="118">
        <f t="shared" si="216"/>
        <v>-11.658645861683597</v>
      </c>
      <c r="X620" s="118">
        <f>IF(OR(N620="",R620=""),NA(),10*LOG10((G620+'CMOS FOM coeff. calculation'!$Q$3)^'CMOS FOM coeff. calculation'!$P$3*(1000*E620)^'CMOS FOM coeff. calculation'!$N$3*R620^'CMOS FOM coeff. calculation'!$O$3*N620^'CMOS FOM coeff. calculation'!$M$3))</f>
        <v>19.37462747082532</v>
      </c>
      <c r="Y620" s="68"/>
      <c r="Z620" t="s">
        <v>2217</v>
      </c>
      <c r="AA620" s="3" t="s">
        <v>5</v>
      </c>
    </row>
    <row r="621" spans="1:27">
      <c r="A621" t="s">
        <v>1799</v>
      </c>
      <c r="B621" s="8" t="s">
        <v>1797</v>
      </c>
      <c r="C621" t="s">
        <v>1798</v>
      </c>
      <c r="D621" s="7" t="s">
        <v>1796</v>
      </c>
      <c r="E621" s="1">
        <v>6.5000000000000002E-2</v>
      </c>
      <c r="F621" s="1">
        <v>30</v>
      </c>
      <c r="G621" s="1">
        <v>75</v>
      </c>
      <c r="H621" s="1">
        <v>-6</v>
      </c>
      <c r="I621" s="1">
        <v>6.3</v>
      </c>
      <c r="J621" s="1">
        <v>-10</v>
      </c>
      <c r="L621" s="1">
        <v>14.2</v>
      </c>
      <c r="M621" s="1">
        <v>1.8</v>
      </c>
      <c r="N621" s="1">
        <v>33.5</v>
      </c>
      <c r="P621" s="1">
        <v>0.45</v>
      </c>
      <c r="Q621" s="118">
        <f t="shared" si="210"/>
        <v>3.3948643300386885</v>
      </c>
      <c r="R621" s="119">
        <f t="shared" si="211"/>
        <v>984.51065571121967</v>
      </c>
      <c r="S621" s="118">
        <f t="shared" si="212"/>
        <v>2.5302679918953825</v>
      </c>
      <c r="T621" s="118">
        <f t="shared" si="213"/>
        <v>13.719120410192541</v>
      </c>
      <c r="U621" s="118">
        <f t="shared" si="214"/>
        <v>-8.7953828944603334</v>
      </c>
      <c r="V621" s="118">
        <f t="shared" si="215"/>
        <v>-19.751963428213934</v>
      </c>
      <c r="W621" s="118">
        <f t="shared" si="216"/>
        <v>-14.828225912481726</v>
      </c>
      <c r="X621" s="118">
        <f>IF(OR(N621="",R621=""),NA(),10*LOG10((G621+'CMOS FOM coeff. calculation'!$Q$3)^'CMOS FOM coeff. calculation'!$P$3*(1000*E621)^'CMOS FOM coeff. calculation'!$N$3*R621^'CMOS FOM coeff. calculation'!$O$3*N621^'CMOS FOM coeff. calculation'!$M$3))</f>
        <v>21.708617180730933</v>
      </c>
      <c r="Y621" s="68"/>
      <c r="Z621" t="s">
        <v>2218</v>
      </c>
      <c r="AA621" s="3" t="s">
        <v>5</v>
      </c>
    </row>
    <row r="622" spans="1:27">
      <c r="A622" s="82">
        <v>44013</v>
      </c>
      <c r="B622" s="8" t="s">
        <v>2585</v>
      </c>
      <c r="C622" t="s">
        <v>2586</v>
      </c>
      <c r="D622" s="7" t="s">
        <v>2587</v>
      </c>
      <c r="E622" s="1">
        <v>6.5000000000000002E-2</v>
      </c>
      <c r="F622" s="1">
        <v>2.8</v>
      </c>
      <c r="G622" s="1">
        <v>22.6</v>
      </c>
      <c r="H622" s="1">
        <v>-10</v>
      </c>
      <c r="I622" s="1">
        <v>3.6</v>
      </c>
      <c r="J622" s="1">
        <v>-31</v>
      </c>
      <c r="K622" s="1">
        <v>-24</v>
      </c>
      <c r="L622" s="1">
        <v>19.100000000000001</v>
      </c>
      <c r="M622" s="1">
        <v>0.3</v>
      </c>
      <c r="N622" s="1">
        <v>0.99</v>
      </c>
      <c r="P622" s="1">
        <f>0.59*0.6</f>
        <v>0.35399999999999998</v>
      </c>
      <c r="Q622" s="118">
        <f t="shared" si="210"/>
        <v>1.3069466087463713</v>
      </c>
      <c r="R622" s="119">
        <f t="shared" si="211"/>
        <v>379.01451653644767</v>
      </c>
      <c r="S622" s="118">
        <f t="shared" si="212"/>
        <v>6.3771094668741257E-2</v>
      </c>
      <c r="T622" s="118">
        <f t="shared" si="213"/>
        <v>7.9484614276480379</v>
      </c>
      <c r="U622" s="118">
        <f t="shared" si="214"/>
        <v>-6.457934656507307</v>
      </c>
      <c r="V622" s="118">
        <f t="shared" si="215"/>
        <v>-12.475238489026935</v>
      </c>
      <c r="W622" s="118">
        <f t="shared" si="216"/>
        <v>-10.984711717886205</v>
      </c>
      <c r="X622" s="118">
        <f>IF(OR(N622="",R622=""),NA(),10*LOG10((G622+'CMOS FOM coeff. calculation'!$Q$3)^'CMOS FOM coeff. calculation'!$P$3*(1000*E622)^'CMOS FOM coeff. calculation'!$N$3*R622^'CMOS FOM coeff. calculation'!$O$3*N622^'CMOS FOM coeff. calculation'!$M$3))</f>
        <v>20.808176883995376</v>
      </c>
      <c r="Y622" s="68"/>
      <c r="Z622" s="66" t="s">
        <v>2588</v>
      </c>
    </row>
    <row r="623" spans="1:27">
      <c r="A623" s="50" t="s">
        <v>2783</v>
      </c>
      <c r="B623" s="8" t="s">
        <v>2788</v>
      </c>
      <c r="C623" t="s">
        <v>2789</v>
      </c>
      <c r="D623" t="s">
        <v>2790</v>
      </c>
      <c r="E623" s="1">
        <v>6.5000000000000002E-2</v>
      </c>
      <c r="F623" s="1">
        <v>3.6</v>
      </c>
      <c r="G623" s="1">
        <v>54</v>
      </c>
      <c r="I623" s="1">
        <v>6.5</v>
      </c>
      <c r="L623" s="1">
        <v>12.5</v>
      </c>
      <c r="M623" s="1">
        <v>0.4</v>
      </c>
      <c r="N623" s="1">
        <v>1.2</v>
      </c>
      <c r="O623" s="1">
        <v>0.4</v>
      </c>
      <c r="Q623" s="118">
        <f t="shared" si="210"/>
        <v>3.6734067642889774</v>
      </c>
      <c r="R623" s="119">
        <f t="shared" si="211"/>
        <v>1065.2879616438036</v>
      </c>
      <c r="S623" s="118" t="str">
        <f t="shared" si="212"/>
        <v/>
      </c>
      <c r="T623" s="118">
        <f t="shared" si="213"/>
        <v>10.193157879869791</v>
      </c>
      <c r="U623" s="118">
        <f t="shared" si="214"/>
        <v>-8.3388162106455006</v>
      </c>
      <c r="V623" s="118" t="e">
        <f t="shared" si="215"/>
        <v>#N/A</v>
      </c>
      <c r="W623" s="118" t="e">
        <f t="shared" si="216"/>
        <v>#N/A</v>
      </c>
      <c r="X623" s="118">
        <f>IF(OR(N623="",R623=""),NA(),10*LOG10((G623+'CMOS FOM coeff. calculation'!$Q$3)^'CMOS FOM coeff. calculation'!$P$3*(1000*E623)^'CMOS FOM coeff. calculation'!$N$3*R623^'CMOS FOM coeff. calculation'!$O$3*N623^'CMOS FOM coeff. calculation'!$M$3))</f>
        <v>21.960515324051698</v>
      </c>
      <c r="Y623" s="68"/>
      <c r="Z623" s="83" t="s">
        <v>2791</v>
      </c>
    </row>
    <row r="624" spans="1:27">
      <c r="E624" s="1">
        <v>6.5000000000000002E-2</v>
      </c>
      <c r="F624" s="1">
        <v>3.3</v>
      </c>
      <c r="G624" s="1">
        <v>54</v>
      </c>
      <c r="I624" s="1">
        <v>7</v>
      </c>
      <c r="L624" s="1">
        <v>8.5</v>
      </c>
      <c r="M624" s="1">
        <v>0.3</v>
      </c>
      <c r="N624" s="1">
        <v>0.7</v>
      </c>
      <c r="O624" s="1">
        <v>0.4</v>
      </c>
      <c r="Q624" s="118">
        <f t="shared" si="210"/>
        <v>4.6717786041213989</v>
      </c>
      <c r="R624" s="119">
        <f t="shared" si="211"/>
        <v>1354.8157951952057</v>
      </c>
      <c r="S624" s="118" t="str">
        <f t="shared" si="212"/>
        <v/>
      </c>
      <c r="T624" s="118">
        <f t="shared" si="213"/>
        <v>10.457012846151256</v>
      </c>
      <c r="U624" s="118">
        <f t="shared" si="214"/>
        <v>-8.7286330465582989</v>
      </c>
      <c r="V624" s="118" t="e">
        <f t="shared" si="215"/>
        <v>#N/A</v>
      </c>
      <c r="W624" s="118" t="e">
        <f t="shared" si="216"/>
        <v>#N/A</v>
      </c>
      <c r="X624" s="118">
        <f>IF(OR(N624="",R624=""),NA(),10*LOG10((G624+'CMOS FOM coeff. calculation'!$Q$3)^'CMOS FOM coeff. calculation'!$P$3*(1000*E624)^'CMOS FOM coeff. calculation'!$N$3*R624^'CMOS FOM coeff. calculation'!$O$3*N624^'CMOS FOM coeff. calculation'!$M$3))</f>
        <v>21.48896264836501</v>
      </c>
      <c r="Y624" s="68"/>
    </row>
    <row r="625" spans="1:26">
      <c r="A625" s="50" t="s">
        <v>2834</v>
      </c>
      <c r="B625" s="8" t="s">
        <v>2811</v>
      </c>
      <c r="C625" t="s">
        <v>2768</v>
      </c>
      <c r="D625" t="s">
        <v>2812</v>
      </c>
      <c r="E625" s="1">
        <v>6.5000000000000002E-2</v>
      </c>
      <c r="F625" s="1">
        <v>3</v>
      </c>
      <c r="G625" s="1">
        <v>10.7</v>
      </c>
      <c r="H625" s="1">
        <v>-10</v>
      </c>
      <c r="I625" s="1">
        <v>1.66</v>
      </c>
      <c r="J625" s="1">
        <v>-31.48</v>
      </c>
      <c r="K625" s="1">
        <v>-25.3</v>
      </c>
      <c r="L625" s="1">
        <v>32.479999999999997</v>
      </c>
      <c r="M625" s="1">
        <v>1</v>
      </c>
      <c r="N625" s="1">
        <v>22</v>
      </c>
      <c r="O625" s="1">
        <v>0.25</v>
      </c>
      <c r="Q625" s="118">
        <f t="shared" si="210"/>
        <v>0.46581099481015387</v>
      </c>
      <c r="R625" s="119">
        <f t="shared" si="211"/>
        <v>135.08518849494462</v>
      </c>
      <c r="S625" s="118">
        <f t="shared" si="212"/>
        <v>1.2582141982805128</v>
      </c>
      <c r="T625" s="118">
        <f t="shared" si="213"/>
        <v>10.122103015205102</v>
      </c>
      <c r="U625" s="118">
        <f t="shared" si="214"/>
        <v>-8.531698832806228</v>
      </c>
      <c r="V625" s="118">
        <f t="shared" si="215"/>
        <v>-13.738653793506874</v>
      </c>
      <c r="W625" s="118">
        <f t="shared" si="216"/>
        <v>-12.148249611108</v>
      </c>
      <c r="X625" s="118">
        <f>IF(OR(N625="",R625=""),NA(),10*LOG10((G625+'CMOS FOM coeff. calculation'!$Q$3)^'CMOS FOM coeff. calculation'!$P$3*(1000*E625)^'CMOS FOM coeff. calculation'!$N$3*R625^'CMOS FOM coeff. calculation'!$O$3*N625^'CMOS FOM coeff. calculation'!$M$3))</f>
        <v>18.7540654786362</v>
      </c>
      <c r="Y625" s="68"/>
      <c r="Z625" s="4" t="s">
        <v>2813</v>
      </c>
    </row>
    <row r="626" spans="1:26">
      <c r="A626" s="50" t="s">
        <v>2864</v>
      </c>
      <c r="B626" s="8" t="s">
        <v>2835</v>
      </c>
      <c r="C626" t="s">
        <v>2836</v>
      </c>
      <c r="D626" t="s">
        <v>2837</v>
      </c>
      <c r="E626" s="1">
        <v>0.13</v>
      </c>
      <c r="F626" s="1">
        <v>0.8</v>
      </c>
      <c r="G626" s="1">
        <v>0.55000000000000004</v>
      </c>
      <c r="H626" s="1">
        <v>-10</v>
      </c>
      <c r="I626" s="1">
        <v>4</v>
      </c>
      <c r="K626" s="1">
        <v>2</v>
      </c>
      <c r="L626" s="1">
        <v>14</v>
      </c>
      <c r="M626" s="1">
        <v>1.2</v>
      </c>
      <c r="N626" s="1">
        <v>2.7</v>
      </c>
      <c r="Q626" s="118">
        <f t="shared" si="210"/>
        <v>1.5745712416962403</v>
      </c>
      <c r="R626" s="119">
        <f t="shared" si="211"/>
        <v>456.62566009190971</v>
      </c>
      <c r="S626" s="118" t="str">
        <f t="shared" si="212"/>
        <v/>
      </c>
      <c r="T626" s="118">
        <f t="shared" si="213"/>
        <v>16.954506404461139</v>
      </c>
      <c r="U626" s="118">
        <f t="shared" si="214"/>
        <v>-17.277539781154658</v>
      </c>
      <c r="V626" s="118" t="e">
        <f t="shared" si="215"/>
        <v>#N/A</v>
      </c>
      <c r="W626" s="118" t="e">
        <f t="shared" si="216"/>
        <v>#N/A</v>
      </c>
      <c r="X626" s="118">
        <f>IF(OR(N626="",R626=""),NA(),10*LOG10((G626+'CMOS FOM coeff. calculation'!$Q$3)^'CMOS FOM coeff. calculation'!$P$3*(1000*E626)^'CMOS FOM coeff. calculation'!$N$3*R626^'CMOS FOM coeff. calculation'!$O$3*N626^'CMOS FOM coeff. calculation'!$M$3))</f>
        <v>13.374673526837347</v>
      </c>
      <c r="Y626" s="68"/>
      <c r="Z626" s="4" t="s">
        <v>2838</v>
      </c>
    </row>
    <row r="627" spans="1:26">
      <c r="A627" s="50" t="s">
        <v>2916</v>
      </c>
      <c r="B627" s="8" t="s">
        <v>2873</v>
      </c>
      <c r="C627" t="s">
        <v>2874</v>
      </c>
      <c r="D627" t="s">
        <v>2875</v>
      </c>
      <c r="E627" s="1">
        <v>2.8000000000000001E-2</v>
      </c>
      <c r="F627" s="1">
        <v>10</v>
      </c>
      <c r="G627" s="1">
        <v>86</v>
      </c>
      <c r="H627" s="1">
        <v>-6</v>
      </c>
      <c r="I627" s="1">
        <v>6</v>
      </c>
      <c r="J627" s="1">
        <v>-32</v>
      </c>
      <c r="K627" s="1">
        <v>-18</v>
      </c>
      <c r="L627" s="1">
        <v>25</v>
      </c>
      <c r="M627" s="1">
        <v>0.6</v>
      </c>
      <c r="N627" s="1">
        <v>15</v>
      </c>
      <c r="O627" s="1">
        <v>0.52</v>
      </c>
      <c r="P627" s="1">
        <v>0.19</v>
      </c>
      <c r="Q627" s="118">
        <f t="shared" si="210"/>
        <v>2.9905285872786189</v>
      </c>
      <c r="R627" s="119">
        <f t="shared" si="211"/>
        <v>867.25329031079946</v>
      </c>
      <c r="S627" s="118">
        <f t="shared" si="212"/>
        <v>0.19889527415240771</v>
      </c>
      <c r="T627" s="118">
        <f t="shared" si="213"/>
        <v>16.485687020406253</v>
      </c>
      <c r="U627" s="118">
        <f t="shared" si="214"/>
        <v>-13.152353687072919</v>
      </c>
      <c r="V627" s="118">
        <f t="shared" si="215"/>
        <v>-24.016097945208536</v>
      </c>
      <c r="W627" s="118">
        <f t="shared" si="216"/>
        <v>-20.6827646118752</v>
      </c>
      <c r="X627" s="118">
        <f>IF(OR(N627="",R627=""),NA(),10*LOG10((G627+'CMOS FOM coeff. calculation'!$Q$3)^'CMOS FOM coeff. calculation'!$P$3*(1000*E627)^'CMOS FOM coeff. calculation'!$N$3*R627^'CMOS FOM coeff. calculation'!$O$3*N627^'CMOS FOM coeff. calculation'!$M$3))</f>
        <v>21.351964526051486</v>
      </c>
      <c r="Y627" s="68"/>
      <c r="Z627" s="4" t="s">
        <v>2876</v>
      </c>
    </row>
    <row r="628" spans="1:26">
      <c r="A628" s="80" t="s">
        <v>2910</v>
      </c>
      <c r="B628" s="8" t="s">
        <v>2865</v>
      </c>
      <c r="C628" t="s">
        <v>2866</v>
      </c>
      <c r="D628" t="s">
        <v>2867</v>
      </c>
      <c r="E628" s="1">
        <v>4.4999999999999998E-2</v>
      </c>
      <c r="F628" s="1">
        <v>19</v>
      </c>
      <c r="G628" s="1">
        <v>36.5</v>
      </c>
      <c r="H628" s="1">
        <v>-10</v>
      </c>
      <c r="I628" s="1">
        <v>2.4</v>
      </c>
      <c r="K628" s="1">
        <v>-11</v>
      </c>
      <c r="L628" s="1">
        <v>21.2</v>
      </c>
      <c r="M628" s="1">
        <v>1.3</v>
      </c>
      <c r="N628" s="1">
        <v>25.5</v>
      </c>
      <c r="O628" s="1">
        <v>0.38</v>
      </c>
      <c r="P628" s="1">
        <v>0.1</v>
      </c>
      <c r="Q628" s="118">
        <f t="shared" si="210"/>
        <v>0.74344040091441943</v>
      </c>
      <c r="R628" s="119">
        <f t="shared" si="211"/>
        <v>215.59771626518165</v>
      </c>
      <c r="S628" s="118" t="str">
        <f t="shared" si="212"/>
        <v/>
      </c>
      <c r="T628" s="118">
        <f t="shared" si="213"/>
        <v>10.942809571501053</v>
      </c>
      <c r="U628" s="118">
        <f t="shared" si="214"/>
        <v>-6.6802975683249572</v>
      </c>
      <c r="V628" s="118" t="e">
        <f t="shared" si="215"/>
        <v>#N/A</v>
      </c>
      <c r="W628" s="118" t="e">
        <f t="shared" si="216"/>
        <v>#N/A</v>
      </c>
      <c r="X628" s="118">
        <f>IF(OR(N628="",R628=""),NA(),10*LOG10((G628+'CMOS FOM coeff. calculation'!$Q$3)^'CMOS FOM coeff. calculation'!$P$3*(1000*E628)^'CMOS FOM coeff. calculation'!$N$3*R628^'CMOS FOM coeff. calculation'!$O$3*N628^'CMOS FOM coeff. calculation'!$M$3))</f>
        <v>21.85676901604355</v>
      </c>
      <c r="Y628" s="68"/>
      <c r="Z628" s="4" t="s">
        <v>2868</v>
      </c>
    </row>
    <row r="629" spans="1:26">
      <c r="A629" s="80" t="s">
        <v>2910</v>
      </c>
      <c r="B629" s="8" t="s">
        <v>2902</v>
      </c>
      <c r="C629" t="s">
        <v>2903</v>
      </c>
      <c r="D629" t="s">
        <v>2904</v>
      </c>
      <c r="E629" s="1">
        <v>0.18</v>
      </c>
      <c r="F629" s="1">
        <v>6.7</v>
      </c>
      <c r="G629" s="1">
        <v>5.75</v>
      </c>
      <c r="H629" s="1">
        <v>-10</v>
      </c>
      <c r="I629" s="1">
        <v>2.89</v>
      </c>
      <c r="K629" s="1">
        <v>-6.2</v>
      </c>
      <c r="L629" s="1">
        <v>10.7</v>
      </c>
      <c r="M629" s="1">
        <v>1</v>
      </c>
      <c r="N629" s="1">
        <v>3.3</v>
      </c>
      <c r="P629" s="1">
        <v>0.73899999999999999</v>
      </c>
      <c r="Q629" s="118">
        <f t="shared" si="210"/>
        <v>1.0333089356579526</v>
      </c>
      <c r="R629" s="119">
        <f t="shared" si="211"/>
        <v>299.65959134080623</v>
      </c>
      <c r="S629" s="118" t="str">
        <f t="shared" si="212"/>
        <v/>
      </c>
      <c r="T629" s="118">
        <f t="shared" si="213"/>
        <v>6.7359292837878737</v>
      </c>
      <c r="U629" s="118">
        <f t="shared" si="214"/>
        <v>-3.9823466081184522</v>
      </c>
      <c r="V629" s="118" t="e">
        <f t="shared" si="215"/>
        <v>#N/A</v>
      </c>
      <c r="W629" s="118" t="e">
        <f t="shared" si="216"/>
        <v>#N/A</v>
      </c>
      <c r="X629" s="118">
        <f>IF(OR(N629="",R629=""),NA(),10*LOG10((G629+'CMOS FOM coeff. calculation'!$Q$3)^'CMOS FOM coeff. calculation'!$P$3*(1000*E629)^'CMOS FOM coeff. calculation'!$N$3*R629^'CMOS FOM coeff. calculation'!$O$3*N629^'CMOS FOM coeff. calculation'!$M$3))</f>
        <v>18.459084010179222</v>
      </c>
      <c r="Y629" s="68"/>
      <c r="Z629" s="4" t="s">
        <v>2905</v>
      </c>
    </row>
    <row r="630" spans="1:26">
      <c r="E630" s="1">
        <v>0.18</v>
      </c>
      <c r="F630" s="1">
        <v>6.8</v>
      </c>
      <c r="G630" s="1">
        <v>5.7</v>
      </c>
      <c r="H630" s="1">
        <v>-10</v>
      </c>
      <c r="I630" s="1">
        <v>3.46</v>
      </c>
      <c r="K630" s="1">
        <v>-6.8</v>
      </c>
      <c r="L630" s="1">
        <v>9.4</v>
      </c>
      <c r="M630" s="1">
        <v>0.8</v>
      </c>
      <c r="N630" s="1">
        <v>1.36</v>
      </c>
      <c r="P630" s="1">
        <v>0.73899999999999999</v>
      </c>
      <c r="Q630" s="118">
        <f t="shared" si="210"/>
        <v>1.3762060113906103</v>
      </c>
      <c r="R630" s="119">
        <f t="shared" si="211"/>
        <v>399.09974330327697</v>
      </c>
      <c r="S630" s="118" t="str">
        <f t="shared" si="212"/>
        <v/>
      </c>
      <c r="T630" s="118">
        <f t="shared" si="213"/>
        <v>6.7224984275555482</v>
      </c>
      <c r="U630" s="118">
        <f t="shared" si="214"/>
        <v>-3.9474687185347603</v>
      </c>
      <c r="V630" s="118" t="e">
        <f t="shared" si="215"/>
        <v>#N/A</v>
      </c>
      <c r="W630" s="118" t="e">
        <f t="shared" si="216"/>
        <v>#N/A</v>
      </c>
      <c r="X630" s="118">
        <f>IF(OR(N630="",R630=""),NA(),10*LOG10((G630+'CMOS FOM coeff. calculation'!$Q$3)^'CMOS FOM coeff. calculation'!$P$3*(1000*E630)^'CMOS FOM coeff. calculation'!$N$3*R630^'CMOS FOM coeff. calculation'!$O$3*N630^'CMOS FOM coeff. calculation'!$M$3))</f>
        <v>18.087158211122276</v>
      </c>
      <c r="Y630" s="68"/>
    </row>
    <row r="631" spans="1:26">
      <c r="A631" s="80" t="s">
        <v>2986</v>
      </c>
      <c r="B631" s="8" t="s">
        <v>2921</v>
      </c>
      <c r="C631" t="s">
        <v>2922</v>
      </c>
      <c r="D631" t="s">
        <v>2923</v>
      </c>
      <c r="E631" s="1">
        <v>2.1999999999999999E-2</v>
      </c>
      <c r="F631" s="1">
        <v>18.3</v>
      </c>
      <c r="G631" s="1">
        <v>58.95</v>
      </c>
      <c r="H631" s="1">
        <v>-5</v>
      </c>
      <c r="I631" s="1">
        <v>4.4000000000000004</v>
      </c>
      <c r="J631" s="1">
        <v>-21.1</v>
      </c>
      <c r="L631" s="1">
        <v>18.100000000000001</v>
      </c>
      <c r="M631" s="1">
        <v>0.85</v>
      </c>
      <c r="N631" s="1">
        <v>3.6</v>
      </c>
      <c r="O631" s="1">
        <v>0.39200000000000002</v>
      </c>
      <c r="Q631" s="118">
        <f t="shared" si="210"/>
        <v>1.7818259192963186</v>
      </c>
      <c r="R631" s="119">
        <f t="shared" si="211"/>
        <v>516.72951659593241</v>
      </c>
      <c r="S631" s="118">
        <f t="shared" si="212"/>
        <v>0.4934247624609851</v>
      </c>
      <c r="T631" s="118">
        <f t="shared" si="213"/>
        <v>14.66079991640285</v>
      </c>
      <c r="U631" s="118">
        <f t="shared" si="214"/>
        <v>-10.452629617301419</v>
      </c>
      <c r="V631" s="118">
        <f t="shared" si="215"/>
        <v>-17.914093417418997</v>
      </c>
      <c r="W631" s="118">
        <f t="shared" si="216"/>
        <v>-13.705923118317564</v>
      </c>
      <c r="X631" s="118">
        <f>IF(OR(N631="",R631=""),NA(),10*LOG10((G631+'CMOS FOM coeff. calculation'!$Q$3)^'CMOS FOM coeff. calculation'!$P$3*(1000*E631)^'CMOS FOM coeff. calculation'!$N$3*R631^'CMOS FOM coeff. calculation'!$O$3*N631^'CMOS FOM coeff. calculation'!$M$3))</f>
        <v>21.149270943443028</v>
      </c>
      <c r="Y631" s="68"/>
      <c r="Z631" t="s">
        <v>2924</v>
      </c>
    </row>
    <row r="632" spans="1:26">
      <c r="A632" s="80" t="s">
        <v>2986</v>
      </c>
      <c r="B632" s="8" t="s">
        <v>2991</v>
      </c>
      <c r="C632" t="s">
        <v>2992</v>
      </c>
      <c r="D632" t="s">
        <v>2993</v>
      </c>
      <c r="E632" s="1">
        <v>6.5000000000000002E-2</v>
      </c>
      <c r="F632" s="1">
        <v>8.6</v>
      </c>
      <c r="G632" s="1">
        <v>11</v>
      </c>
      <c r="H632" s="1">
        <v>-5</v>
      </c>
      <c r="I632" s="1">
        <v>2.08</v>
      </c>
      <c r="J632" s="1">
        <v>-17</v>
      </c>
      <c r="K632" s="1">
        <v>-9</v>
      </c>
      <c r="L632" s="1">
        <v>20</v>
      </c>
      <c r="M632" s="1">
        <v>0.8</v>
      </c>
      <c r="N632" s="1">
        <v>12.8</v>
      </c>
      <c r="O632" s="1">
        <v>0.14399999999999999</v>
      </c>
      <c r="Q632" s="118">
        <f t="shared" si="210"/>
        <v>0.62056419881463276</v>
      </c>
      <c r="R632" s="119">
        <f t="shared" si="211"/>
        <v>179.96361765624351</v>
      </c>
      <c r="S632" s="118">
        <f t="shared" si="212"/>
        <v>1.9753096918191904</v>
      </c>
      <c r="T632" s="118">
        <f t="shared" si="213"/>
        <v>10.50377107856605</v>
      </c>
      <c r="U632" s="118">
        <f t="shared" si="214"/>
        <v>-7.3887762410874913</v>
      </c>
      <c r="V632" s="118">
        <f t="shared" si="215"/>
        <v>-12.723373801404049</v>
      </c>
      <c r="W632" s="118">
        <f t="shared" si="216"/>
        <v>-9.6083789639254906</v>
      </c>
      <c r="X632" s="118">
        <f>IF(OR(N632="",R632=""),NA(),10*LOG10((G632+'CMOS FOM coeff. calculation'!$Q$3)^'CMOS FOM coeff. calculation'!$P$3*(1000*E632)^'CMOS FOM coeff. calculation'!$N$3*R632^'CMOS FOM coeff. calculation'!$O$3*N632^'CMOS FOM coeff. calculation'!$M$3))</f>
        <v>18.207321939315069</v>
      </c>
      <c r="Y632" s="68"/>
      <c r="Z632" s="4" t="s">
        <v>2994</v>
      </c>
    </row>
    <row r="633" spans="1:26">
      <c r="A633" s="80" t="s">
        <v>3234</v>
      </c>
      <c r="B633" s="8" t="s">
        <v>2995</v>
      </c>
      <c r="C633" t="s">
        <v>2996</v>
      </c>
      <c r="D633" t="s">
        <v>2997</v>
      </c>
      <c r="E633" s="1">
        <v>0.18</v>
      </c>
      <c r="F633" s="1">
        <v>0.2</v>
      </c>
      <c r="G633" s="1">
        <v>2.4</v>
      </c>
      <c r="H633" s="1">
        <v>-10</v>
      </c>
      <c r="I633" s="1">
        <v>2.6</v>
      </c>
      <c r="K633" s="1">
        <v>-13</v>
      </c>
      <c r="L633" s="1">
        <v>15</v>
      </c>
      <c r="M633" s="1">
        <v>0.4</v>
      </c>
      <c r="N633" s="1">
        <v>0.8</v>
      </c>
      <c r="P633" s="1">
        <v>0.48</v>
      </c>
      <c r="Q633" s="118">
        <f t="shared" si="210"/>
        <v>0.84646854428630181</v>
      </c>
      <c r="R633" s="119">
        <f t="shared" si="211"/>
        <v>245.47587784302752</v>
      </c>
      <c r="S633" s="118" t="str">
        <f t="shared" si="212"/>
        <v/>
      </c>
      <c r="T633" s="118">
        <f t="shared" si="213"/>
        <v>6.3480331826342482</v>
      </c>
      <c r="U633" s="118">
        <f t="shared" si="214"/>
        <v>-8.6779331970876434</v>
      </c>
      <c r="V633" s="118" t="e">
        <f t="shared" si="215"/>
        <v>#N/A</v>
      </c>
      <c r="W633" s="118" t="e">
        <f t="shared" si="216"/>
        <v>#N/A</v>
      </c>
      <c r="X633" s="118">
        <f>IF(OR(N633="",R633=""),NA(),10*LOG10((G633+'CMOS FOM coeff. calculation'!$Q$3)^'CMOS FOM coeff. calculation'!$P$3*(1000*E633)^'CMOS FOM coeff. calculation'!$N$3*R633^'CMOS FOM coeff. calculation'!$O$3*N633^'CMOS FOM coeff. calculation'!$M$3))</f>
        <v>18.87280992654545</v>
      </c>
      <c r="Z633" s="4" t="s">
        <v>2998</v>
      </c>
    </row>
    <row r="634" spans="1:26">
      <c r="A634" s="80" t="s">
        <v>3084</v>
      </c>
      <c r="B634" s="8" t="s">
        <v>3066</v>
      </c>
      <c r="C634" t="s">
        <v>3067</v>
      </c>
      <c r="D634" t="s">
        <v>3068</v>
      </c>
      <c r="E634" s="1">
        <v>0.09</v>
      </c>
      <c r="F634" s="1">
        <v>17</v>
      </c>
      <c r="G634" s="1">
        <v>58.5</v>
      </c>
      <c r="H634" s="1">
        <v>-5</v>
      </c>
      <c r="I634" s="1">
        <v>5.4</v>
      </c>
      <c r="J634" s="1">
        <v>-26</v>
      </c>
      <c r="K634" s="1">
        <v>-15.5</v>
      </c>
      <c r="L634" s="1">
        <v>16.8</v>
      </c>
      <c r="M634" s="1">
        <v>1</v>
      </c>
      <c r="N634" s="1">
        <v>5.7</v>
      </c>
      <c r="P634" s="1">
        <v>0.6</v>
      </c>
      <c r="Q634" s="118">
        <f t="shared" si="210"/>
        <v>2.5200191674884334</v>
      </c>
      <c r="R634" s="119">
        <f t="shared" si="211"/>
        <v>730.80555857164563</v>
      </c>
      <c r="S634" s="118">
        <f t="shared" si="212"/>
        <v>0.1177145570302317</v>
      </c>
      <c r="T634" s="118">
        <f t="shared" ref="T634:T640" si="217">IF(OR(Q634="",N634="",E634="",G634=""),NA(),10*LOG10(Q634*N634^(1/3)*E634^(-4/3)*G634^(-2/3)))</f>
        <v>8.6960153932658333</v>
      </c>
      <c r="U634" s="118">
        <f t="shared" ref="U634:U640" si="218">IF(OR(ISNA(T634),F634=""),NA(),10*LOG10(F634^(1/3))-T634)</f>
        <v>-4.5945189886715871</v>
      </c>
      <c r="V634" s="118">
        <f t="shared" ref="V634:V640" si="219">IF(OR(ISNA(T634),S634=""),NA(),10*LOG10(S634^(1/3)*E634*G634^(1/3)/Q634/N634^(2/3)))</f>
        <v>-16.717492255001275</v>
      </c>
      <c r="W634" s="118">
        <f t="shared" ref="W634:W640" si="220">IF(OR(ISNA(V634),F634=""),NA(),V634+10*LOG10(F634^(1/3)))</f>
        <v>-12.615995850407028</v>
      </c>
      <c r="X634" s="118">
        <f>IF(OR(N634="",R634=""),NA(),10*LOG10((G634+'CMOS FOM coeff. calculation'!$Q$3)^'CMOS FOM coeff. calculation'!$P$3*(1000*E634)^'CMOS FOM coeff. calculation'!$N$3*R634^'CMOS FOM coeff. calculation'!$O$3*N634^'CMOS FOM coeff. calculation'!$M$3))</f>
        <v>23.62441949413369</v>
      </c>
      <c r="Z634" s="4" t="s">
        <v>3069</v>
      </c>
    </row>
    <row r="635" spans="1:26">
      <c r="A635" s="80" t="s">
        <v>3104</v>
      </c>
      <c r="B635" s="8" t="s">
        <v>3070</v>
      </c>
      <c r="C635" t="s">
        <v>2903</v>
      </c>
      <c r="D635" t="s">
        <v>3071</v>
      </c>
      <c r="E635" s="1">
        <v>0.09</v>
      </c>
      <c r="F635" s="1">
        <v>8.1</v>
      </c>
      <c r="G635" s="1">
        <v>25.25</v>
      </c>
      <c r="H635" s="1">
        <v>-10</v>
      </c>
      <c r="I635" s="1">
        <v>2.74</v>
      </c>
      <c r="K635" s="1">
        <v>-9</v>
      </c>
      <c r="L635" s="1">
        <v>21.6</v>
      </c>
      <c r="N635" s="1">
        <v>13.7</v>
      </c>
      <c r="O635" s="1">
        <v>0.34799999999999998</v>
      </c>
      <c r="Q635" s="118">
        <f t="shared" si="210"/>
        <v>0.88544258282092825</v>
      </c>
      <c r="R635" s="119">
        <f t="shared" si="211"/>
        <v>256.77834901806921</v>
      </c>
      <c r="S635" s="118" t="str">
        <f t="shared" ref="S635:S643" si="221">IF(OR(J635="",L635=""),"",10^(J635/10)*(10^(L635/10)-1))</f>
        <v/>
      </c>
      <c r="T635" s="118">
        <f t="shared" si="217"/>
        <v>7.8556965912222569</v>
      </c>
      <c r="U635" s="118">
        <f t="shared" si="218"/>
        <v>-4.8274131949600907</v>
      </c>
      <c r="V635" s="118" t="e">
        <f t="shared" si="219"/>
        <v>#N/A</v>
      </c>
      <c r="W635" s="118" t="e">
        <f t="shared" si="220"/>
        <v>#N/A</v>
      </c>
      <c r="X635" s="118">
        <f>IF(OR(N635="",R635=""),NA(),10*LOG10((G635+'CMOS FOM coeff. calculation'!$Q$3)^'CMOS FOM coeff. calculation'!$P$3*(1000*E635)^'CMOS FOM coeff. calculation'!$N$3*R635^'CMOS FOM coeff. calculation'!$O$3*N635^'CMOS FOM coeff. calculation'!$M$3))</f>
        <v>21.641170962949843</v>
      </c>
      <c r="Z635" s="4" t="s">
        <v>3072</v>
      </c>
    </row>
    <row r="636" spans="1:26">
      <c r="A636" s="80" t="s">
        <v>3113</v>
      </c>
      <c r="B636" s="8" t="s">
        <v>3109</v>
      </c>
      <c r="C636" t="s">
        <v>3110</v>
      </c>
      <c r="D636" t="s">
        <v>3111</v>
      </c>
      <c r="E636" s="1">
        <v>6.5000000000000002E-2</v>
      </c>
      <c r="F636" s="1">
        <v>12</v>
      </c>
      <c r="G636" s="1">
        <v>28</v>
      </c>
      <c r="H636" s="1">
        <v>-10</v>
      </c>
      <c r="I636" s="1">
        <v>2.5</v>
      </c>
      <c r="J636" s="1">
        <v>-14.7</v>
      </c>
      <c r="K636" s="1">
        <v>-5</v>
      </c>
      <c r="L636" s="1">
        <v>22.3</v>
      </c>
      <c r="N636" s="1">
        <v>28</v>
      </c>
      <c r="P636" s="1">
        <v>0.25</v>
      </c>
      <c r="Q636" s="118">
        <f t="shared" si="210"/>
        <v>0.78288940462651735</v>
      </c>
      <c r="R636" s="119">
        <f t="shared" si="211"/>
        <v>227.03792734169002</v>
      </c>
      <c r="S636" s="118">
        <f t="shared" si="221"/>
        <v>5.720514957757648</v>
      </c>
      <c r="T636" s="118">
        <f t="shared" si="217"/>
        <v>9.9409659619805772</v>
      </c>
      <c r="U636" s="118">
        <f t="shared" si="218"/>
        <v>-6.3436951418218275</v>
      </c>
      <c r="V636" s="118">
        <f t="shared" si="219"/>
        <v>-13.106946941356972</v>
      </c>
      <c r="W636" s="118">
        <f t="shared" si="220"/>
        <v>-9.5096761211982219</v>
      </c>
      <c r="X636" s="118">
        <f>IF(OR(N636="",R636=""),NA(),10*LOG10((G636+'CMOS FOM coeff. calculation'!$Q$3)^'CMOS FOM coeff. calculation'!$P$3*(1000*E636)^'CMOS FOM coeff. calculation'!$N$3*R636^'CMOS FOM coeff. calculation'!$O$3*N636^'CMOS FOM coeff. calculation'!$M$3))</f>
        <v>21.097440732434979</v>
      </c>
      <c r="Z636" s="4" t="s">
        <v>3112</v>
      </c>
    </row>
    <row r="637" spans="1:26">
      <c r="A637" s="80" t="s">
        <v>3123</v>
      </c>
      <c r="B637" s="8" t="s">
        <v>3226</v>
      </c>
      <c r="C637" t="s">
        <v>3227</v>
      </c>
      <c r="D637" t="s">
        <v>3228</v>
      </c>
      <c r="E637" s="1">
        <v>6.5000000000000002E-2</v>
      </c>
      <c r="F637" s="1">
        <v>26</v>
      </c>
      <c r="G637" s="1">
        <v>31</v>
      </c>
      <c r="H637" s="1">
        <v>-6</v>
      </c>
      <c r="I637" s="1">
        <v>2.6</v>
      </c>
      <c r="J637" s="1">
        <v>-18.5</v>
      </c>
      <c r="L637" s="1">
        <v>19.5</v>
      </c>
      <c r="M637" s="1">
        <v>1</v>
      </c>
      <c r="N637" s="1">
        <v>17</v>
      </c>
      <c r="O637" s="1">
        <v>0.16</v>
      </c>
      <c r="Q637" s="118">
        <f t="shared" si="210"/>
        <v>0.82900241873479763</v>
      </c>
      <c r="R637" s="119">
        <f t="shared" si="211"/>
        <v>240.4107014330913</v>
      </c>
      <c r="S637" s="118">
        <f t="shared" si="221"/>
        <v>1.2448000363479386</v>
      </c>
      <c r="T637" s="118">
        <f t="shared" si="217"/>
        <v>9.1724650004869996</v>
      </c>
      <c r="U637" s="118">
        <f t="shared" si="218"/>
        <v>-4.4558871739176062</v>
      </c>
      <c r="V637" s="118">
        <f t="shared" si="219"/>
        <v>-13.971212932248553</v>
      </c>
      <c r="W637" s="118">
        <f t="shared" si="220"/>
        <v>-9.25463510567916</v>
      </c>
      <c r="X637" s="118">
        <f>IF(OR(N637="",R637=""),NA(),10*LOG10((G637+'CMOS FOM coeff. calculation'!$Q$3)^'CMOS FOM coeff. calculation'!$P$3*(1000*E637)^'CMOS FOM coeff. calculation'!$N$3*R637^'CMOS FOM coeff. calculation'!$O$3*N637^'CMOS FOM coeff. calculation'!$M$3))</f>
        <v>21.903680189857099</v>
      </c>
      <c r="Z637" s="4" t="s">
        <v>3229</v>
      </c>
    </row>
    <row r="638" spans="1:26">
      <c r="A638" s="80" t="s">
        <v>3128</v>
      </c>
      <c r="B638" s="8" t="s">
        <v>3230</v>
      </c>
      <c r="C638" t="s">
        <v>3231</v>
      </c>
      <c r="D638" t="s">
        <v>3232</v>
      </c>
      <c r="E638" s="1">
        <v>0.09</v>
      </c>
      <c r="F638" s="1">
        <v>17.899999999999999</v>
      </c>
      <c r="G638" s="1">
        <v>80.55</v>
      </c>
      <c r="H638" s="1">
        <v>-6</v>
      </c>
      <c r="I638" s="1">
        <v>4.8</v>
      </c>
      <c r="J638" s="1">
        <v>-26</v>
      </c>
      <c r="L638" s="1">
        <v>26.1</v>
      </c>
      <c r="M638" s="1">
        <v>1.4</v>
      </c>
      <c r="N638" s="1">
        <v>23</v>
      </c>
      <c r="P638" s="1">
        <v>0.52</v>
      </c>
      <c r="Q638" s="112">
        <f t="shared" si="210"/>
        <v>2.0249223152628617</v>
      </c>
      <c r="R638" s="119">
        <f t="shared" si="211"/>
        <v>587.22747142622984</v>
      </c>
      <c r="S638" s="118">
        <f t="shared" si="221"/>
        <v>1.0207811058492453</v>
      </c>
      <c r="T638" s="118">
        <f t="shared" si="217"/>
        <v>8.839506027142928</v>
      </c>
      <c r="U638" s="118">
        <f t="shared" si="218"/>
        <v>-4.6633292572099512</v>
      </c>
      <c r="V638" s="118">
        <f t="shared" si="219"/>
        <v>-16.216516918261625</v>
      </c>
      <c r="W638" s="118">
        <f t="shared" si="220"/>
        <v>-12.040340148328649</v>
      </c>
      <c r="X638" s="118">
        <f>IF(OR(N638="",R638=""),NA(),10*LOG10((G638+'CMOS FOM coeff. calculation'!$Q$3)^'CMOS FOM coeff. calculation'!$P$3*(1000*E638)^'CMOS FOM coeff. calculation'!$N$3*R638^'CMOS FOM coeff. calculation'!$O$3*N638^'CMOS FOM coeff. calculation'!$M$3))</f>
        <v>25.568568987572505</v>
      </c>
      <c r="Z638" s="4" t="s">
        <v>3233</v>
      </c>
    </row>
    <row r="639" spans="1:26">
      <c r="A639" s="80" t="s">
        <v>3123</v>
      </c>
      <c r="B639" s="8" t="s">
        <v>3235</v>
      </c>
      <c r="C639" t="s">
        <v>3241</v>
      </c>
      <c r="D639" t="s">
        <v>3237</v>
      </c>
      <c r="E639" s="1">
        <v>2.8000000000000001E-2</v>
      </c>
      <c r="F639" s="1">
        <v>6.6</v>
      </c>
      <c r="G639" s="1">
        <v>72.900000000000006</v>
      </c>
      <c r="H639" s="1">
        <v>-10</v>
      </c>
      <c r="I639" s="1">
        <v>4.5599999999999996</v>
      </c>
      <c r="J639" s="1">
        <v>-16.3</v>
      </c>
      <c r="L639" s="1">
        <v>13.48</v>
      </c>
      <c r="M639" s="1">
        <v>1.4</v>
      </c>
      <c r="N639" s="1">
        <v>3.64</v>
      </c>
      <c r="O639" s="1">
        <v>8.7999999999999995E-2</v>
      </c>
      <c r="P639" s="1">
        <v>0.28000000000000003</v>
      </c>
      <c r="Q639" s="112">
        <f t="shared" si="210"/>
        <v>1.9448654854379823</v>
      </c>
      <c r="R639" s="119">
        <f t="shared" si="211"/>
        <v>564.01099077701485</v>
      </c>
      <c r="S639" s="118">
        <f t="shared" si="221"/>
        <v>0.49895390084592056</v>
      </c>
      <c r="T639" s="118">
        <f t="shared" si="217"/>
        <v>13.045609697305151</v>
      </c>
      <c r="U639" s="118">
        <f t="shared" si="218"/>
        <v>-10.313796578832257</v>
      </c>
      <c r="V639" s="118">
        <f t="shared" si="219"/>
        <v>-16.955364767300615</v>
      </c>
      <c r="W639" s="118">
        <f t="shared" si="220"/>
        <v>-14.223551648827721</v>
      </c>
      <c r="X639" s="118">
        <f>IF(OR(N639="",R639=""),NA(),10*LOG10((G639+'CMOS FOM coeff. calculation'!$Q$3)^'CMOS FOM coeff. calculation'!$P$3*(1000*E639)^'CMOS FOM coeff. calculation'!$N$3*R639^'CMOS FOM coeff. calculation'!$O$3*N639^'CMOS FOM coeff. calculation'!$M$3))</f>
        <v>23.046678448518136</v>
      </c>
      <c r="Z639" s="4" t="s">
        <v>3236</v>
      </c>
    </row>
    <row r="640" spans="1:26">
      <c r="A640" s="80" t="s">
        <v>3248</v>
      </c>
      <c r="B640" s="8" t="s">
        <v>3249</v>
      </c>
      <c r="C640" t="s">
        <v>3250</v>
      </c>
      <c r="D640" t="s">
        <v>3251</v>
      </c>
      <c r="E640" s="1">
        <v>2.8000000000000001E-2</v>
      </c>
      <c r="F640" s="1">
        <v>19.8</v>
      </c>
      <c r="G640" s="1">
        <v>31.2</v>
      </c>
      <c r="H640" s="1">
        <v>-7.5</v>
      </c>
      <c r="I640" s="1">
        <v>2.92</v>
      </c>
      <c r="J640" s="1">
        <v>-14.5</v>
      </c>
      <c r="L640" s="1">
        <v>20.3</v>
      </c>
      <c r="M640" s="1">
        <v>1.1000000000000001</v>
      </c>
      <c r="N640" s="1">
        <v>27.5</v>
      </c>
      <c r="O640" s="1">
        <v>0.128</v>
      </c>
      <c r="P640" s="1">
        <v>0.47199999999999998</v>
      </c>
      <c r="Q640" s="112">
        <f t="shared" si="210"/>
        <v>0.96787743125966408</v>
      </c>
      <c r="R640" s="119">
        <f t="shared" si="211"/>
        <v>280.68445506530259</v>
      </c>
      <c r="S640" s="118">
        <f t="shared" si="221"/>
        <v>3.7664126242822569</v>
      </c>
      <c r="T640" s="118">
        <f t="shared" si="217"/>
        <v>15.399508233404598</v>
      </c>
      <c r="U640" s="118">
        <f t="shared" si="218"/>
        <v>-11.077290932532827</v>
      </c>
      <c r="V640" s="118">
        <f t="shared" si="219"/>
        <v>-18.081899641253084</v>
      </c>
      <c r="W640" s="118">
        <f t="shared" si="220"/>
        <v>-13.759682340381314</v>
      </c>
      <c r="X640" s="118">
        <f>IF(OR(N640="",R640=""),NA(),10*LOG10((G640+'CMOS FOM coeff. calculation'!$Q$3)^'CMOS FOM coeff. calculation'!$P$3*(1000*E640)^'CMOS FOM coeff. calculation'!$N$3*R640^'CMOS FOM coeff. calculation'!$O$3*N640^'CMOS FOM coeff. calculation'!$M$3))</f>
        <v>18.358592638995844</v>
      </c>
      <c r="Z640" s="4" t="s">
        <v>3252</v>
      </c>
    </row>
    <row r="641" spans="1:27">
      <c r="A641" s="80" t="s">
        <v>3253</v>
      </c>
      <c r="B641" s="8" t="s">
        <v>3254</v>
      </c>
      <c r="C641" t="s">
        <v>3255</v>
      </c>
      <c r="D641" t="s">
        <v>3256</v>
      </c>
      <c r="E641" s="1">
        <v>6.5000000000000002E-2</v>
      </c>
      <c r="F641" s="1">
        <v>13.5</v>
      </c>
      <c r="G641" s="1">
        <v>27.75</v>
      </c>
      <c r="H641" s="1">
        <v>-10</v>
      </c>
      <c r="I641" s="1">
        <v>2.4</v>
      </c>
      <c r="L641" s="1">
        <v>10.5</v>
      </c>
      <c r="M641" s="1">
        <v>1</v>
      </c>
      <c r="N641" s="1">
        <v>4</v>
      </c>
      <c r="O641" s="1">
        <v>0.03</v>
      </c>
      <c r="Q641" s="112">
        <f t="shared" ref="Q641:Q654" si="222">IF(OR(I641="",L641=""),"",(10^(I641/10)-1)*10^(L641/10)/(10^(L641/10)-1))</f>
        <v>0.80999138711392993</v>
      </c>
      <c r="R641" s="119">
        <f t="shared" ref="R641:R654" si="223">IF(Q641="","",290*Q641)</f>
        <v>234.89750226303968</v>
      </c>
      <c r="S641" s="118" t="str">
        <f t="shared" si="221"/>
        <v/>
      </c>
      <c r="T641" s="118">
        <f t="shared" ref="T641:T653" si="224">IF(OR(Q641="",N641="",E641="",G641=""),NA(),10*LOG10(Q641*N641^(1/3)*E641^(-4/3)*G641^(-2/3)))</f>
        <v>7.2977393086357552</v>
      </c>
      <c r="U641" s="118">
        <f t="shared" ref="U641:U653" si="225">IF(OR(ISNA(T641),F641=""),NA(),10*LOG10(F641^(1/3))-T641)</f>
        <v>-3.5299600803190687</v>
      </c>
      <c r="V641" s="118" t="e">
        <f t="shared" ref="V641:V653" si="226">IF(OR(ISNA(T641),S641=""),NA(),10*LOG10(S641^(1/3)*E641*G641^(1/3)/Q641/N641^(2/3)))</f>
        <v>#N/A</v>
      </c>
      <c r="W641" s="118" t="e">
        <f t="shared" ref="W641:W653" si="227">IF(OR(ISNA(V641),F641=""),NA(),V641+10*LOG10(F641^(1/3)))</f>
        <v>#N/A</v>
      </c>
      <c r="X641" s="118">
        <f>IF(OR(N641="",R641=""),NA(),10*LOG10((G641+'CMOS FOM coeff. calculation'!$Q$3)^'CMOS FOM coeff. calculation'!$P$3*(1000*E641)^'CMOS FOM coeff. calculation'!$N$3*R641^'CMOS FOM coeff. calculation'!$O$3*N641^'CMOS FOM coeff. calculation'!$M$3))</f>
        <v>22.603007227793107</v>
      </c>
      <c r="Z641" s="4" t="s">
        <v>3257</v>
      </c>
    </row>
    <row r="642" spans="1:27">
      <c r="A642" s="80" t="s">
        <v>3248</v>
      </c>
      <c r="B642" s="8" t="s">
        <v>3266</v>
      </c>
      <c r="C642" t="s">
        <v>3267</v>
      </c>
      <c r="D642" t="s">
        <v>3268</v>
      </c>
      <c r="E642" s="1">
        <v>6.5000000000000002E-2</v>
      </c>
      <c r="F642" s="1">
        <v>5</v>
      </c>
      <c r="G642" s="1">
        <v>28.5</v>
      </c>
      <c r="H642" s="1">
        <v>-10</v>
      </c>
      <c r="I642" s="1">
        <v>5</v>
      </c>
      <c r="K642" s="1">
        <v>10.6</v>
      </c>
      <c r="L642" s="1">
        <v>12</v>
      </c>
      <c r="M642" s="1">
        <v>1.2</v>
      </c>
      <c r="N642" s="1">
        <v>14.4</v>
      </c>
      <c r="O642" s="1">
        <v>0.19</v>
      </c>
      <c r="Q642" s="112">
        <f t="shared" si="222"/>
        <v>2.3078960569087235</v>
      </c>
      <c r="R642" s="119">
        <f t="shared" si="223"/>
        <v>669.28985650352979</v>
      </c>
      <c r="S642" s="118" t="str">
        <f t="shared" si="221"/>
        <v/>
      </c>
      <c r="T642" s="118">
        <f t="shared" si="224"/>
        <v>13.622226936586191</v>
      </c>
      <c r="U642" s="118">
        <f t="shared" si="225"/>
        <v>-11.292326922132796</v>
      </c>
      <c r="V642" s="118" t="e">
        <f t="shared" si="226"/>
        <v>#N/A</v>
      </c>
      <c r="W642" s="118" t="e">
        <f t="shared" si="227"/>
        <v>#N/A</v>
      </c>
      <c r="X642" s="118">
        <f>IF(OR(N642="",R642=""),NA(),10*LOG10((G642+'CMOS FOM coeff. calculation'!$Q$3)^'CMOS FOM coeff. calculation'!$P$3*(1000*E642)^'CMOS FOM coeff. calculation'!$N$3*R642^'CMOS FOM coeff. calculation'!$O$3*N642^'CMOS FOM coeff. calculation'!$M$3))</f>
        <v>17.55169782531221</v>
      </c>
      <c r="Z642" s="4" t="s">
        <v>3269</v>
      </c>
    </row>
    <row r="643" spans="1:27">
      <c r="A643" s="80" t="s">
        <v>3118</v>
      </c>
      <c r="B643" s="8" t="s">
        <v>3262</v>
      </c>
      <c r="C643" t="s">
        <v>3263</v>
      </c>
      <c r="D643" t="s">
        <v>3264</v>
      </c>
      <c r="E643" s="1">
        <v>0.04</v>
      </c>
      <c r="F643" s="1">
        <v>16.100000000000001</v>
      </c>
      <c r="G643" s="1">
        <v>84.55</v>
      </c>
      <c r="H643" s="1">
        <v>-5</v>
      </c>
      <c r="I643" s="1">
        <v>5.7</v>
      </c>
      <c r="L643" s="1">
        <v>18.5</v>
      </c>
      <c r="M643" s="1">
        <v>0.9</v>
      </c>
      <c r="N643" s="1">
        <v>23.4</v>
      </c>
      <c r="O643" s="1">
        <v>0.17399999999999999</v>
      </c>
      <c r="Q643" s="112">
        <f t="shared" si="222"/>
        <v>2.7542572081117838</v>
      </c>
      <c r="R643" s="119">
        <f t="shared" si="223"/>
        <v>798.73459035241729</v>
      </c>
      <c r="S643" s="118" t="str">
        <f t="shared" si="221"/>
        <v/>
      </c>
      <c r="T643" s="118">
        <f t="shared" si="224"/>
        <v>14.755873840993925</v>
      </c>
      <c r="U643" s="118">
        <f t="shared" si="225"/>
        <v>-10.733120920887758</v>
      </c>
      <c r="V643" s="118" t="e">
        <f t="shared" si="226"/>
        <v>#N/A</v>
      </c>
      <c r="W643" s="118" t="e">
        <f t="shared" si="227"/>
        <v>#N/A</v>
      </c>
      <c r="X643" s="118">
        <f>IF(OR(N643="",R643=""),NA(),10*LOG10((G643+'CMOS FOM coeff. calculation'!$Q$3)^'CMOS FOM coeff. calculation'!$P$3*(1000*E643)^'CMOS FOM coeff. calculation'!$N$3*R643^'CMOS FOM coeff. calculation'!$O$3*N643^'CMOS FOM coeff. calculation'!$M$3))</f>
        <v>22.245107877152584</v>
      </c>
      <c r="Z643" s="4" t="s">
        <v>3265</v>
      </c>
    </row>
    <row r="644" spans="1:27">
      <c r="A644" s="80" t="s">
        <v>3270</v>
      </c>
      <c r="B644" s="8" t="s">
        <v>3271</v>
      </c>
      <c r="C644" t="s">
        <v>3272</v>
      </c>
      <c r="D644" t="s">
        <v>3273</v>
      </c>
      <c r="E644" s="1">
        <v>0.09</v>
      </c>
      <c r="F644" s="1">
        <v>0.75</v>
      </c>
      <c r="G644" s="1">
        <v>0.42499999999999999</v>
      </c>
      <c r="H644" s="1">
        <v>-10</v>
      </c>
      <c r="I644" s="1">
        <v>4.5</v>
      </c>
      <c r="J644" s="1">
        <v>-26.3</v>
      </c>
      <c r="K644" s="1">
        <v>-7.1</v>
      </c>
      <c r="L644" s="1">
        <v>21.3</v>
      </c>
      <c r="M644" s="1">
        <v>1.2</v>
      </c>
      <c r="N644" s="1">
        <v>1.2</v>
      </c>
      <c r="O644" s="1">
        <v>7.4999999999999997E-2</v>
      </c>
      <c r="Q644" s="112">
        <f t="shared" si="222"/>
        <v>1.8319634640402758</v>
      </c>
      <c r="R644" s="119">
        <f t="shared" si="223"/>
        <v>531.26940457167996</v>
      </c>
      <c r="S644" s="118">
        <f t="shared" ref="S644:S654" si="228">IF(OR(J644="",L644=""),"",10^(J644/10)*(10^(L644/10)-1))</f>
        <v>0.31388353720151779</v>
      </c>
      <c r="T644" s="118">
        <f t="shared" si="224"/>
        <v>19.313945907495466</v>
      </c>
      <c r="U644" s="118">
        <f t="shared" si="225"/>
        <v>-19.730408362856465</v>
      </c>
      <c r="V644" s="118">
        <f t="shared" si="226"/>
        <v>-16.530759732300965</v>
      </c>
      <c r="W644" s="118">
        <f t="shared" si="227"/>
        <v>-16.947222187661964</v>
      </c>
      <c r="X644" s="118">
        <f>IF(OR(N644="",R644=""),NA(),10*LOG10((G644+'CMOS FOM coeff. calculation'!$Q$3)^'CMOS FOM coeff. calculation'!$P$3*(1000*E644)^'CMOS FOM coeff. calculation'!$N$3*R644^'CMOS FOM coeff. calculation'!$O$3*N644^'CMOS FOM coeff. calculation'!$M$3))</f>
        <v>12.295419315796964</v>
      </c>
      <c r="Z644" s="4" t="s">
        <v>3274</v>
      </c>
    </row>
    <row r="645" spans="1:27">
      <c r="A645" s="80" t="s">
        <v>3306</v>
      </c>
      <c r="B645" s="8" t="s">
        <v>3292</v>
      </c>
      <c r="C645" t="s">
        <v>3293</v>
      </c>
      <c r="D645" t="s">
        <v>3294</v>
      </c>
      <c r="E645" s="1">
        <v>6.5000000000000002E-2</v>
      </c>
      <c r="F645" s="1">
        <v>1.1000000000000001</v>
      </c>
      <c r="G645" s="1">
        <v>28</v>
      </c>
      <c r="H645" s="1">
        <v>-10</v>
      </c>
      <c r="I645" s="1">
        <v>3.1</v>
      </c>
      <c r="J645" s="1">
        <v>-21.1</v>
      </c>
      <c r="L645" s="1">
        <v>18.100000000000001</v>
      </c>
      <c r="M645" s="1">
        <v>1</v>
      </c>
      <c r="N645" s="1">
        <v>10.199999999999999</v>
      </c>
      <c r="O645" s="1">
        <v>0.16</v>
      </c>
      <c r="Q645" s="112">
        <f t="shared" si="222"/>
        <v>1.0581263819218323</v>
      </c>
      <c r="R645" s="119">
        <f t="shared" si="223"/>
        <v>306.85665075733135</v>
      </c>
      <c r="S645" s="118">
        <f t="shared" si="228"/>
        <v>0.4934247624609851</v>
      </c>
      <c r="T645" s="118">
        <f t="shared" si="224"/>
        <v>9.7874777014759573</v>
      </c>
      <c r="U645" s="118">
        <f t="shared" si="225"/>
        <v>-9.6495020842818739</v>
      </c>
      <c r="V645" s="118">
        <f t="shared" si="226"/>
        <v>-15.038979764913407</v>
      </c>
      <c r="W645" s="118">
        <f t="shared" si="227"/>
        <v>-14.901004147719323</v>
      </c>
      <c r="X645" s="118">
        <f>IF(OR(N645="",R645=""),NA(),10*LOG10((G645+'CMOS FOM coeff. calculation'!$Q$3)^'CMOS FOM coeff. calculation'!$P$3*(1000*E645)^'CMOS FOM coeff. calculation'!$N$3*R645^'CMOS FOM coeff. calculation'!$O$3*N645^'CMOS FOM coeff. calculation'!$M$3))</f>
        <v>20.797022307308836</v>
      </c>
      <c r="Z645" s="4" t="s">
        <v>3295</v>
      </c>
      <c r="AA645" t="s">
        <v>3296</v>
      </c>
    </row>
    <row r="646" spans="1:27">
      <c r="E646" s="1">
        <v>6.5000000000000002E-2</v>
      </c>
      <c r="F646" s="1">
        <v>2.7</v>
      </c>
      <c r="G646" s="1">
        <v>39</v>
      </c>
      <c r="H646" s="1">
        <v>-10</v>
      </c>
      <c r="I646" s="1">
        <v>3.8</v>
      </c>
      <c r="J646" s="1">
        <v>-20.9</v>
      </c>
      <c r="L646" s="1">
        <v>18.399999999999999</v>
      </c>
      <c r="M646" s="1">
        <v>1</v>
      </c>
      <c r="N646" s="1">
        <v>10.199999999999999</v>
      </c>
      <c r="O646" s="1">
        <v>0.16</v>
      </c>
      <c r="Q646" s="112">
        <f t="shared" si="222"/>
        <v>1.4193487503425271</v>
      </c>
      <c r="R646" s="119">
        <f t="shared" si="223"/>
        <v>411.61113759933284</v>
      </c>
      <c r="S646" s="118">
        <f t="shared" si="228"/>
        <v>0.55421302002870798</v>
      </c>
      <c r="T646" s="118">
        <f t="shared" si="224"/>
        <v>10.103616301072673</v>
      </c>
      <c r="U646" s="118">
        <f t="shared" si="225"/>
        <v>-8.6657370872093828</v>
      </c>
      <c r="V646" s="118">
        <f t="shared" si="226"/>
        <v>-15.666621004611219</v>
      </c>
      <c r="W646" s="118">
        <f t="shared" si="227"/>
        <v>-14.228741790747929</v>
      </c>
      <c r="X646" s="118">
        <f>IF(OR(N646="",R646=""),NA(),10*LOG10((G646+'CMOS FOM coeff. calculation'!$Q$3)^'CMOS FOM coeff. calculation'!$P$3*(1000*E646)^'CMOS FOM coeff. calculation'!$N$3*R646^'CMOS FOM coeff. calculation'!$O$3*N646^'CMOS FOM coeff. calculation'!$M$3))</f>
        <v>21.6610417402336</v>
      </c>
      <c r="AA646" t="s">
        <v>3296</v>
      </c>
    </row>
    <row r="647" spans="1:27">
      <c r="A647" s="80" t="s">
        <v>3305</v>
      </c>
      <c r="B647" s="8" t="s">
        <v>3301</v>
      </c>
      <c r="C647" t="s">
        <v>3302</v>
      </c>
      <c r="D647" t="s">
        <v>3303</v>
      </c>
      <c r="E647" s="1">
        <v>6.5000000000000002E-2</v>
      </c>
      <c r="F647" s="1">
        <v>4</v>
      </c>
      <c r="G647" s="1">
        <v>28</v>
      </c>
      <c r="H647" s="1">
        <v>-10</v>
      </c>
      <c r="I647" s="1">
        <v>3.8</v>
      </c>
      <c r="J647" s="1">
        <v>-15.2</v>
      </c>
      <c r="K647" s="1">
        <v>-7.15</v>
      </c>
      <c r="L647" s="1">
        <v>13.7</v>
      </c>
      <c r="M647" s="1">
        <v>1</v>
      </c>
      <c r="N647" s="1">
        <v>11.6</v>
      </c>
      <c r="O647" s="1">
        <v>0.17</v>
      </c>
      <c r="P647" s="1">
        <v>0.44</v>
      </c>
      <c r="Q647" s="112">
        <f t="shared" si="222"/>
        <v>1.4611631461991148</v>
      </c>
      <c r="R647" s="119">
        <f t="shared" si="223"/>
        <v>423.73731239774327</v>
      </c>
      <c r="S647" s="118">
        <f t="shared" si="228"/>
        <v>0.67774626718011755</v>
      </c>
      <c r="T647" s="118">
        <f t="shared" si="224"/>
        <v>11.375282097906984</v>
      </c>
      <c r="U647" s="118">
        <f t="shared" si="225"/>
        <v>-9.3684154601471104</v>
      </c>
      <c r="V647" s="118">
        <f t="shared" si="226"/>
        <v>-16.353489574288748</v>
      </c>
      <c r="W647" s="118">
        <f t="shared" si="227"/>
        <v>-14.346622936528874</v>
      </c>
      <c r="X647" s="118">
        <f>IF(OR(N647="",R647=""),NA(),10*LOG10((G647+'CMOS FOM coeff. calculation'!$Q$3)^'CMOS FOM coeff. calculation'!$P$3*(1000*E647)^'CMOS FOM coeff. calculation'!$N$3*R647^'CMOS FOM coeff. calculation'!$O$3*N647^'CMOS FOM coeff. calculation'!$M$3))</f>
        <v>19.42385616798591</v>
      </c>
      <c r="Z647" s="4" t="s">
        <v>3304</v>
      </c>
      <c r="AA647" t="s">
        <v>3296</v>
      </c>
    </row>
    <row r="648" spans="1:27">
      <c r="E648" s="1">
        <v>6.5000000000000002E-2</v>
      </c>
      <c r="F648" s="1">
        <v>3</v>
      </c>
      <c r="G648" s="1">
        <v>38.5</v>
      </c>
      <c r="H648" s="1">
        <v>-10</v>
      </c>
      <c r="I648" s="1">
        <v>4.0999999999999996</v>
      </c>
      <c r="J648" s="1">
        <v>-16</v>
      </c>
      <c r="K648" s="1">
        <v>-6.85</v>
      </c>
      <c r="L648" s="1">
        <v>13.1</v>
      </c>
      <c r="M648" s="1">
        <v>1</v>
      </c>
      <c r="N648" s="1">
        <v>11.6</v>
      </c>
      <c r="O648" s="1">
        <v>0.17</v>
      </c>
      <c r="P648" s="1">
        <v>0.44</v>
      </c>
      <c r="Q648" s="112">
        <f t="shared" si="222"/>
        <v>1.6512715666036457</v>
      </c>
      <c r="R648" s="119">
        <f t="shared" si="223"/>
        <v>478.86875431505723</v>
      </c>
      <c r="S648" s="118">
        <f t="shared" si="228"/>
        <v>0.4877425196762688</v>
      </c>
      <c r="T648" s="118">
        <f t="shared" si="224"/>
        <v>10.984462040206033</v>
      </c>
      <c r="U648" s="118">
        <f t="shared" si="225"/>
        <v>-9.3940578578071587</v>
      </c>
      <c r="V648" s="118">
        <f t="shared" si="226"/>
        <v>-16.899933566445718</v>
      </c>
      <c r="W648" s="118">
        <f t="shared" si="227"/>
        <v>-15.309529384046844</v>
      </c>
      <c r="X648" s="118">
        <f>IF(OR(N648="",R648=""),NA(),10*LOG10((G648+'CMOS FOM coeff. calculation'!$Q$3)^'CMOS FOM coeff. calculation'!$P$3*(1000*E648)^'CMOS FOM coeff. calculation'!$N$3*R648^'CMOS FOM coeff. calculation'!$O$3*N648^'CMOS FOM coeff. calculation'!$M$3))</f>
        <v>20.875741315936533</v>
      </c>
      <c r="AA648" t="s">
        <v>3296</v>
      </c>
    </row>
    <row r="649" spans="1:27" ht="17.25">
      <c r="A649" s="80" t="s">
        <v>3325</v>
      </c>
      <c r="B649" s="8" t="s">
        <v>3326</v>
      </c>
      <c r="C649" t="s">
        <v>3327</v>
      </c>
      <c r="D649" t="s">
        <v>3328</v>
      </c>
      <c r="E649" s="1">
        <v>0.09</v>
      </c>
      <c r="F649" s="1">
        <v>26</v>
      </c>
      <c r="G649" s="1">
        <v>38.5</v>
      </c>
      <c r="H649" s="1">
        <v>-5</v>
      </c>
      <c r="I649" s="1">
        <v>4.2</v>
      </c>
      <c r="K649" s="1">
        <v>-25</v>
      </c>
      <c r="L649" s="1">
        <v>20.5</v>
      </c>
      <c r="M649" s="1">
        <v>1</v>
      </c>
      <c r="N649" s="1">
        <v>10.1</v>
      </c>
      <c r="O649" s="1">
        <v>0.6</v>
      </c>
      <c r="P649" s="1">
        <v>0.28000000000000003</v>
      </c>
      <c r="Q649" s="112">
        <f t="shared" si="222"/>
        <v>1.6449284319770066</v>
      </c>
      <c r="R649" s="119">
        <f t="shared" si="223"/>
        <v>477.02924527333192</v>
      </c>
      <c r="S649" s="118" t="str">
        <f t="shared" si="228"/>
        <v/>
      </c>
      <c r="T649" s="118">
        <f t="shared" si="224"/>
        <v>8.8829029962295163</v>
      </c>
      <c r="U649" s="118">
        <f t="shared" si="225"/>
        <v>-4.1663251696601229</v>
      </c>
      <c r="V649" s="118" t="e">
        <f>IF(OR(ISNA(T649),S649=""),NA(),10*LOG10(S649^(1/3)*E649*G649^(1/3)/Q649/N649^(2/3)))</f>
        <v>#N/A</v>
      </c>
      <c r="W649" s="118" t="e">
        <f>IF(OR(ISNA(V649),F649=""),NA(),V649+10*LOG10(F649^(1/3)))</f>
        <v>#N/A</v>
      </c>
      <c r="X649" s="118">
        <f>IF(OR(N649="",R649=""),NA(),10*LOG10((G649+'CMOS FOM coeff. calculation'!$Q$3)^'CMOS FOM coeff. calculation'!$P$3*(1000*E649)^'CMOS FOM coeff. calculation'!$N$3*R649^'CMOS FOM coeff. calculation'!$O$3*N649^'CMOS FOM coeff. calculation'!$M$3))</f>
        <v>22.000362076088777</v>
      </c>
      <c r="Z649" s="4" t="s">
        <v>3329</v>
      </c>
    </row>
    <row r="650" spans="1:27">
      <c r="A650" t="s">
        <v>3330</v>
      </c>
      <c r="B650" t="s">
        <v>3331</v>
      </c>
      <c r="C650" t="s">
        <v>3332</v>
      </c>
      <c r="D650" t="s">
        <v>3333</v>
      </c>
      <c r="E650" s="1">
        <v>0.13</v>
      </c>
      <c r="G650" s="1">
        <v>0.433</v>
      </c>
      <c r="H650" s="1">
        <v>-10</v>
      </c>
      <c r="I650" s="1">
        <v>2.1</v>
      </c>
      <c r="J650" s="1">
        <v>-94</v>
      </c>
      <c r="K650" s="1">
        <v>-86.1</v>
      </c>
      <c r="L650" s="1">
        <v>90</v>
      </c>
      <c r="M650" s="1">
        <v>1.2</v>
      </c>
      <c r="N650" s="1">
        <v>3.64</v>
      </c>
      <c r="O650" s="1">
        <v>2.2999999999999998</v>
      </c>
      <c r="Q650" s="112">
        <f t="shared" si="222"/>
        <v>0.62181009798074027</v>
      </c>
      <c r="R650" s="119">
        <f t="shared" si="223"/>
        <v>180.32492841441467</v>
      </c>
      <c r="S650" s="118">
        <f t="shared" si="228"/>
        <v>0.39810717015538905</v>
      </c>
      <c r="T650" s="118">
        <f t="shared" si="224"/>
        <v>14.044418311281477</v>
      </c>
      <c r="U650" s="118" t="e">
        <f t="shared" si="225"/>
        <v>#N/A</v>
      </c>
      <c r="V650" s="118">
        <f t="shared" si="226"/>
        <v>-13.082860420426654</v>
      </c>
      <c r="W650" s="118" t="e">
        <f t="shared" si="227"/>
        <v>#N/A</v>
      </c>
      <c r="X650" s="118">
        <f>IF(OR(N650="",R650=""),NA(),10*LOG10((G650+'CMOS FOM coeff. calculation'!$Q$3)^'CMOS FOM coeff. calculation'!$P$3*(1000*E650)^'CMOS FOM coeff. calculation'!$N$3*R650^'CMOS FOM coeff. calculation'!$O$3*N650^'CMOS FOM coeff. calculation'!$M$3))</f>
        <v>16.677566234690406</v>
      </c>
      <c r="Z650" s="4" t="s">
        <v>3334</v>
      </c>
    </row>
    <row r="651" spans="1:27">
      <c r="A651" s="80" t="s">
        <v>3330</v>
      </c>
      <c r="B651" s="8" t="s">
        <v>3335</v>
      </c>
      <c r="C651" t="s">
        <v>3336</v>
      </c>
      <c r="D651" t="s">
        <v>3337</v>
      </c>
      <c r="E651" s="1">
        <v>6.5000000000000002E-2</v>
      </c>
      <c r="F651" s="1">
        <v>5.3</v>
      </c>
      <c r="G651" s="1">
        <v>28.5</v>
      </c>
      <c r="H651" s="1">
        <v>-10</v>
      </c>
      <c r="I651" s="1">
        <v>2.79</v>
      </c>
      <c r="J651" s="1">
        <v>-7.3</v>
      </c>
      <c r="L651" s="1">
        <v>11.9</v>
      </c>
      <c r="M651" s="1">
        <v>1.2</v>
      </c>
      <c r="N651" s="1">
        <v>12</v>
      </c>
      <c r="O651" s="1">
        <v>0.11</v>
      </c>
      <c r="Q651" s="112">
        <f t="shared" si="222"/>
        <v>0.96327236771611358</v>
      </c>
      <c r="R651" s="119">
        <f t="shared" si="223"/>
        <v>279.34898663767297</v>
      </c>
      <c r="S651" s="118">
        <f t="shared" si="228"/>
        <v>2.6978227894603193</v>
      </c>
      <c r="T651" s="118">
        <f t="shared" si="224"/>
        <v>9.5636180217945661</v>
      </c>
      <c r="U651" s="118">
        <f t="shared" si="225"/>
        <v>-7.1493651231252695</v>
      </c>
      <c r="V651" s="118">
        <f t="shared" si="226"/>
        <v>-12.616704834165196</v>
      </c>
      <c r="W651" s="118">
        <f t="shared" si="227"/>
        <v>-10.202451935495899</v>
      </c>
      <c r="X651" s="118">
        <f>IF(OR(N651="",R651=""),NA(),10*LOG10((G651+'CMOS FOM coeff. calculation'!$Q$3)^'CMOS FOM coeff. calculation'!$P$3*(1000*E651)^'CMOS FOM coeff. calculation'!$N$3*R651^'CMOS FOM coeff. calculation'!$O$3*N651^'CMOS FOM coeff. calculation'!$M$3))</f>
        <v>21.125264602577047</v>
      </c>
      <c r="Z651" s="4" t="s">
        <v>3338</v>
      </c>
    </row>
    <row r="652" spans="1:27">
      <c r="E652" s="1">
        <v>6.5000000000000002E-2</v>
      </c>
      <c r="F652" s="1">
        <v>4.8</v>
      </c>
      <c r="G652" s="1">
        <v>28.5</v>
      </c>
      <c r="H652" s="1">
        <v>-10</v>
      </c>
      <c r="I652" s="1">
        <v>3.49</v>
      </c>
      <c r="J652" s="1">
        <v>-10.5</v>
      </c>
      <c r="L652" s="1">
        <v>11.1</v>
      </c>
      <c r="M652" s="1">
        <v>1.2</v>
      </c>
      <c r="N652" s="1">
        <v>16.8</v>
      </c>
      <c r="O652" s="1">
        <v>0.12</v>
      </c>
      <c r="Q652" s="112">
        <f t="shared" si="222"/>
        <v>1.3373864612683095</v>
      </c>
      <c r="R652" s="119">
        <f t="shared" si="223"/>
        <v>387.84207376780978</v>
      </c>
      <c r="S652" s="118">
        <f t="shared" si="228"/>
        <v>1.0590285276835081</v>
      </c>
      <c r="T652" s="118">
        <f t="shared" si="224"/>
        <v>11.475789674492225</v>
      </c>
      <c r="U652" s="118">
        <f t="shared" si="225"/>
        <v>-9.2049855499069331</v>
      </c>
      <c r="V652" s="118">
        <f t="shared" si="226"/>
        <v>-16.369655805367273</v>
      </c>
      <c r="W652" s="118">
        <f t="shared" si="227"/>
        <v>-14.098851680781983</v>
      </c>
      <c r="X652" s="118">
        <f>IF(OR(N652="",R652=""),NA(),10*LOG10((G652+'CMOS FOM coeff. calculation'!$Q$3)^'CMOS FOM coeff. calculation'!$P$3*(1000*E652)^'CMOS FOM coeff. calculation'!$N$3*R652^'CMOS FOM coeff. calculation'!$O$3*N652^'CMOS FOM coeff. calculation'!$M$3))</f>
        <v>19.550438150827393</v>
      </c>
      <c r="AA652" t="s">
        <v>3296</v>
      </c>
    </row>
    <row r="653" spans="1:27">
      <c r="E653" s="1">
        <v>6.5000000000000002E-2</v>
      </c>
      <c r="F653" s="1">
        <v>9.4</v>
      </c>
      <c r="G653" s="1">
        <v>38</v>
      </c>
      <c r="H653" s="1">
        <v>-10</v>
      </c>
      <c r="I653" s="1">
        <v>4.01</v>
      </c>
      <c r="J653" s="1">
        <v>-6.6</v>
      </c>
      <c r="L653" s="1">
        <v>8.5</v>
      </c>
      <c r="M653" s="1">
        <v>1.2</v>
      </c>
      <c r="N653" s="1">
        <v>16.8</v>
      </c>
      <c r="O653" s="1">
        <v>0.12</v>
      </c>
      <c r="Q653" s="112">
        <f t="shared" si="222"/>
        <v>1.76731710402824</v>
      </c>
      <c r="R653" s="119">
        <f t="shared" si="223"/>
        <v>512.52196016818959</v>
      </c>
      <c r="S653" s="118">
        <f t="shared" si="228"/>
        <v>1.3300404565175263</v>
      </c>
      <c r="T653" s="118">
        <f t="shared" si="224"/>
        <v>11.853440345352082</v>
      </c>
      <c r="U653" s="118">
        <f t="shared" si="225"/>
        <v>-8.609680833353087</v>
      </c>
      <c r="V653" s="118">
        <f t="shared" si="226"/>
        <v>-16.833911624222839</v>
      </c>
      <c r="W653" s="118">
        <f t="shared" si="227"/>
        <v>-13.590152112223844</v>
      </c>
      <c r="X653" s="118">
        <f>IF(OR(N653="",R653=""),NA(),10*LOG10((G653+'CMOS FOM coeff. calculation'!$Q$3)^'CMOS FOM coeff. calculation'!$P$3*(1000*E653)^'CMOS FOM coeff. calculation'!$N$3*R653^'CMOS FOM coeff. calculation'!$O$3*N653^'CMOS FOM coeff. calculation'!$M$3))</f>
        <v>20.205772686948485</v>
      </c>
      <c r="AA653" t="s">
        <v>3296</v>
      </c>
    </row>
    <row r="654" spans="1:27">
      <c r="A654" t="s">
        <v>3311</v>
      </c>
      <c r="B654" t="s">
        <v>3343</v>
      </c>
      <c r="C654" t="s">
        <v>3344</v>
      </c>
      <c r="D654" t="s">
        <v>3345</v>
      </c>
      <c r="E654" s="1">
        <v>0.18</v>
      </c>
      <c r="F654" s="1">
        <v>5</v>
      </c>
      <c r="G654" s="1">
        <v>24.5</v>
      </c>
      <c r="H654" s="1">
        <v>-10</v>
      </c>
      <c r="I654" s="1">
        <v>7.3</v>
      </c>
      <c r="J654" s="1">
        <v>-11.4</v>
      </c>
      <c r="L654" s="1">
        <v>14.1</v>
      </c>
      <c r="M654" s="1">
        <v>1.8</v>
      </c>
      <c r="N654" s="1">
        <v>34.200000000000003</v>
      </c>
      <c r="O654" s="1">
        <v>0.19800000000000001</v>
      </c>
      <c r="P654" s="1">
        <v>0.41299999999999998</v>
      </c>
      <c r="Q654" s="112">
        <f t="shared" si="222"/>
        <v>4.5472255666941512</v>
      </c>
      <c r="R654" s="119">
        <f t="shared" si="223"/>
        <v>1318.6954143413038</v>
      </c>
      <c r="S654" s="118">
        <f t="shared" si="228"/>
        <v>1.7896435406553679</v>
      </c>
      <c r="T654" s="118">
        <f t="shared" ref="T654:T669" si="229">IF(OR(Q654="",N654="",E654="",G654=""),NA(),10*LOG10(Q654*N654^(1/3)*E654^(-4/3)*G654^(-2/3)))</f>
        <v>12.359478037051201</v>
      </c>
      <c r="U654" s="118">
        <f t="shared" ref="U654:U669" si="230">IF(OR(ISNA(T654),F654=""),NA(),10*LOG10(F654^(1/3))-T654)</f>
        <v>-10.029578022597805</v>
      </c>
      <c r="V654" s="118">
        <f t="shared" ref="V654:V669" si="231">IF(OR(ISNA(T654),S654=""),NA(),10*LOG10(S654^(1/3)*E654*G654^(1/3)/Q654/N654^(2/3)))</f>
        <v>-18.778471897901404</v>
      </c>
      <c r="W654" s="118">
        <f t="shared" ref="W654:W669" si="232">IF(OR(ISNA(V654),F654=""),NA(),V654+10*LOG10(F654^(1/3)))</f>
        <v>-16.448571883448007</v>
      </c>
      <c r="X654" s="118">
        <f>IF(OR(N654="",R654=""),NA(),10*LOG10((G654+'CMOS FOM coeff. calculation'!$Q$3)^'CMOS FOM coeff. calculation'!$P$3*(1000*E654)^'CMOS FOM coeff. calculation'!$N$3*R654^'CMOS FOM coeff. calculation'!$O$3*N654^'CMOS FOM coeff. calculation'!$M$3))</f>
        <v>16.391774160293952</v>
      </c>
      <c r="Z654" s="4" t="s">
        <v>3346</v>
      </c>
    </row>
    <row r="655" spans="1:27">
      <c r="A655" t="s">
        <v>3311</v>
      </c>
      <c r="B655" t="s">
        <v>3355</v>
      </c>
      <c r="C655" t="s">
        <v>3356</v>
      </c>
      <c r="D655" t="s">
        <v>3357</v>
      </c>
      <c r="E655" s="1">
        <v>5.5E-2</v>
      </c>
      <c r="F655" s="1">
        <v>29.6</v>
      </c>
      <c r="G655" s="1">
        <v>15.2</v>
      </c>
      <c r="H655" s="1">
        <v>-10</v>
      </c>
      <c r="I655" s="1">
        <v>2.5</v>
      </c>
      <c r="J655" s="1">
        <v>-28.3</v>
      </c>
      <c r="K655" s="1">
        <v>-15.9</v>
      </c>
      <c r="L655" s="1">
        <v>20.3</v>
      </c>
      <c r="M655" s="1">
        <v>1.5</v>
      </c>
      <c r="N655" s="1">
        <v>23.5</v>
      </c>
      <c r="O655" s="1">
        <v>0.39</v>
      </c>
      <c r="Q655" s="112">
        <f t="shared" ref="Q655:Q669" si="233">IF(OR(I655="",L655=""),"",(10^(I655/10)-1)*10^(L655/10)/(10^(L655/10)-1))</f>
        <v>0.78561115997694897</v>
      </c>
      <c r="R655" s="119">
        <f t="shared" ref="R655:R669" si="234">IF(Q655="","",290*Q655)</f>
        <v>227.82723639331519</v>
      </c>
      <c r="S655" s="118">
        <f t="shared" ref="S655:S669" si="235">IF(OR(J655="",L655=""),"",10^(J655/10)*(10^(L655/10)-1))</f>
        <v>0.15701021085794323</v>
      </c>
      <c r="T655" s="118">
        <f t="shared" si="229"/>
        <v>12.43850953649007</v>
      </c>
      <c r="U655" s="118">
        <f t="shared" si="230"/>
        <v>-7.5342038329602756</v>
      </c>
      <c r="V655" s="118">
        <f t="shared" si="231"/>
        <v>-19.429663679404644</v>
      </c>
      <c r="W655" s="118">
        <f t="shared" si="232"/>
        <v>-14.525357975874851</v>
      </c>
      <c r="X655" s="118">
        <f>IF(OR(N655="",R655=""),NA(),10*LOG10((G655+'CMOS FOM coeff. calculation'!$Q$3)^'CMOS FOM coeff. calculation'!$P$3*(1000*E655)^'CMOS FOM coeff. calculation'!$N$3*R655^'CMOS FOM coeff. calculation'!$O$3*N655^'CMOS FOM coeff. calculation'!$M$3))</f>
        <v>17.58889893144336</v>
      </c>
      <c r="Z655" s="4" t="s">
        <v>3358</v>
      </c>
    </row>
    <row r="656" spans="1:27">
      <c r="A656" t="s">
        <v>3395</v>
      </c>
      <c r="B656" t="s">
        <v>3351</v>
      </c>
      <c r="C656" t="s">
        <v>3352</v>
      </c>
      <c r="D656" t="s">
        <v>3353</v>
      </c>
      <c r="E656" s="1">
        <v>6.5000000000000002E-2</v>
      </c>
      <c r="F656" s="1">
        <v>0.5</v>
      </c>
      <c r="G656" s="1">
        <v>15.05</v>
      </c>
      <c r="H656" s="1">
        <v>-7.5</v>
      </c>
      <c r="I656" s="1">
        <v>5.33</v>
      </c>
      <c r="J656" s="1">
        <v>-18.100000000000001</v>
      </c>
      <c r="L656" s="1">
        <v>16.5</v>
      </c>
      <c r="M656" s="1">
        <v>1</v>
      </c>
      <c r="N656" s="1">
        <v>22</v>
      </c>
      <c r="O656" s="1">
        <v>0.28399999999999997</v>
      </c>
      <c r="P656" s="1">
        <v>1.0605</v>
      </c>
      <c r="Q656" s="112">
        <f t="shared" si="233"/>
        <v>2.4671619932856967</v>
      </c>
      <c r="R656" s="119">
        <f t="shared" si="234"/>
        <v>715.47697805285202</v>
      </c>
      <c r="S656" s="118">
        <f t="shared" si="235"/>
        <v>0.67634280472981145</v>
      </c>
      <c r="T656" s="118">
        <f t="shared" si="229"/>
        <v>16.374297508981702</v>
      </c>
      <c r="U656" s="118">
        <f t="shared" si="230"/>
        <v>-17.37773082786164</v>
      </c>
      <c r="V656" s="118">
        <f t="shared" si="231"/>
        <v>-21.383316386475645</v>
      </c>
      <c r="W656" s="118">
        <f t="shared" si="232"/>
        <v>-22.386749705355584</v>
      </c>
      <c r="X656" s="118">
        <f>IF(OR(N656="",R656=""),NA(),10*LOG10((G656+'CMOS FOM coeff. calculation'!$Q$3)^'CMOS FOM coeff. calculation'!$P$3*(1000*E656)^'CMOS FOM coeff. calculation'!$N$3*R656^'CMOS FOM coeff. calculation'!$O$3*N656^'CMOS FOM coeff. calculation'!$M$3))</f>
        <v>13.636704567218603</v>
      </c>
      <c r="Z656" s="4" t="s">
        <v>3354</v>
      </c>
    </row>
    <row r="657" spans="1:26">
      <c r="A657" t="s">
        <v>3325</v>
      </c>
      <c r="B657" t="s">
        <v>3368</v>
      </c>
      <c r="C657" t="s">
        <v>3369</v>
      </c>
      <c r="D657" t="s">
        <v>3370</v>
      </c>
      <c r="E657" s="1">
        <v>0.18</v>
      </c>
      <c r="F657" s="1">
        <v>0.9</v>
      </c>
      <c r="G657" s="1">
        <v>5.8</v>
      </c>
      <c r="H657" s="1">
        <v>-10</v>
      </c>
      <c r="I657" s="1">
        <v>3.2</v>
      </c>
      <c r="K657" s="1">
        <v>-15.9</v>
      </c>
      <c r="L657" s="1">
        <v>14.5</v>
      </c>
      <c r="M657" s="1">
        <v>0.5</v>
      </c>
      <c r="N657" s="1">
        <v>0.88</v>
      </c>
      <c r="O657" s="1">
        <v>0.42</v>
      </c>
      <c r="Q657" s="112">
        <f t="shared" si="233"/>
        <v>1.1293676056387696</v>
      </c>
      <c r="R657" s="119">
        <f t="shared" si="234"/>
        <v>327.5166056352432</v>
      </c>
      <c r="S657" s="118" t="str">
        <f t="shared" si="235"/>
        <v/>
      </c>
      <c r="T657" s="118">
        <f t="shared" si="229"/>
        <v>5.1834754797480951</v>
      </c>
      <c r="U657" s="118">
        <f t="shared" si="230"/>
        <v>-5.3360004482836789</v>
      </c>
      <c r="V657" s="118" t="e">
        <f t="shared" si="231"/>
        <v>#N/A</v>
      </c>
      <c r="W657" s="118" t="e">
        <f t="shared" si="232"/>
        <v>#N/A</v>
      </c>
      <c r="X657" s="118">
        <f>IF(OR(N657="",R657=""),NA(),10*LOG10((G657+'CMOS FOM coeff. calculation'!$Q$3)^'CMOS FOM coeff. calculation'!$P$3*(1000*E657)^'CMOS FOM coeff. calculation'!$N$3*R657^'CMOS FOM coeff. calculation'!$O$3*N657^'CMOS FOM coeff. calculation'!$M$3))</f>
        <v>19.281442185671747</v>
      </c>
      <c r="Z657" s="4" t="s">
        <v>3367</v>
      </c>
    </row>
    <row r="658" spans="1:26">
      <c r="A658" t="s">
        <v>3311</v>
      </c>
      <c r="B658" s="8" t="s">
        <v>3375</v>
      </c>
      <c r="C658" t="s">
        <v>3376</v>
      </c>
      <c r="D658" t="s">
        <v>3377</v>
      </c>
      <c r="E658" s="1">
        <v>4.4999999999999998E-2</v>
      </c>
      <c r="F658" s="1">
        <v>18.7</v>
      </c>
      <c r="G658" s="1">
        <v>36.85</v>
      </c>
      <c r="H658" s="1">
        <v>-10</v>
      </c>
      <c r="I658" s="1">
        <v>2.1</v>
      </c>
      <c r="J658" s="1">
        <v>-14.6</v>
      </c>
      <c r="K658" s="1">
        <v>-3.6</v>
      </c>
      <c r="L658" s="1">
        <v>19.8</v>
      </c>
      <c r="M658" s="1">
        <v>1.3</v>
      </c>
      <c r="N658" s="1">
        <v>25.5</v>
      </c>
      <c r="O658" s="1">
        <v>0.35</v>
      </c>
      <c r="Q658" s="112">
        <f t="shared" si="233"/>
        <v>0.6283901500128547</v>
      </c>
      <c r="R658" s="119">
        <f t="shared" si="234"/>
        <v>182.23314350372786</v>
      </c>
      <c r="S658" s="118">
        <f t="shared" si="235"/>
        <v>3.2766375297806594</v>
      </c>
      <c r="T658" s="118">
        <f t="shared" si="229"/>
        <v>10.185010825224319</v>
      </c>
      <c r="U658" s="118">
        <f t="shared" si="230"/>
        <v>-5.9455388034359897</v>
      </c>
      <c r="V658" s="118">
        <f t="shared" si="231"/>
        <v>-13.88755010908141</v>
      </c>
      <c r="W658" s="118">
        <f t="shared" si="232"/>
        <v>-9.6480780872930794</v>
      </c>
      <c r="X658" s="118">
        <f>IF(OR(N658="",R658=""),NA(),10*LOG10((G658+'CMOS FOM coeff. calculation'!$Q$3)^'CMOS FOM coeff. calculation'!$P$3*(1000*E658)^'CMOS FOM coeff. calculation'!$N$3*R658^'CMOS FOM coeff. calculation'!$O$3*N658^'CMOS FOM coeff. calculation'!$M$3))</f>
        <v>22.573675863052905</v>
      </c>
      <c r="Z658" s="4" t="s">
        <v>3378</v>
      </c>
    </row>
    <row r="659" spans="1:26">
      <c r="E659" s="1">
        <v>4.4999999999999998E-2</v>
      </c>
      <c r="F659" s="1">
        <v>18.7</v>
      </c>
      <c r="G659" s="1">
        <v>36.85</v>
      </c>
      <c r="H659" s="1">
        <v>-10</v>
      </c>
      <c r="I659" s="1">
        <v>2.1</v>
      </c>
      <c r="J659" s="1">
        <v>-15.4</v>
      </c>
      <c r="K659" s="1">
        <v>-6</v>
      </c>
      <c r="L659" s="1">
        <v>20.3</v>
      </c>
      <c r="M659" s="1">
        <v>1.3</v>
      </c>
      <c r="N659" s="1">
        <v>27.4</v>
      </c>
      <c r="O659" s="1">
        <v>0.35</v>
      </c>
      <c r="Q659" s="112">
        <f t="shared" si="233"/>
        <v>0.62766783441835894</v>
      </c>
      <c r="R659" s="119">
        <f t="shared" si="234"/>
        <v>182.0236719813241</v>
      </c>
      <c r="S659" s="118">
        <f t="shared" si="235"/>
        <v>3.0614551174823266</v>
      </c>
      <c r="T659" s="118">
        <f t="shared" si="229"/>
        <v>10.284050477287721</v>
      </c>
      <c r="U659" s="118">
        <f t="shared" si="230"/>
        <v>-6.0445784554993915</v>
      </c>
      <c r="V659" s="118">
        <f t="shared" si="231"/>
        <v>-14.188959383802462</v>
      </c>
      <c r="W659" s="118">
        <f t="shared" si="232"/>
        <v>-9.949487362014132</v>
      </c>
      <c r="X659" s="118">
        <f>IF(OR(N659="",R659=""),NA(),10*LOG10((G659+'CMOS FOM coeff. calculation'!$Q$3)^'CMOS FOM coeff. calculation'!$P$3*(1000*E659)^'CMOS FOM coeff. calculation'!$N$3*R659^'CMOS FOM coeff. calculation'!$O$3*N659^'CMOS FOM coeff. calculation'!$M$3))</f>
        <v>22.515750558582273</v>
      </c>
    </row>
    <row r="660" spans="1:26">
      <c r="A660" t="s">
        <v>3492</v>
      </c>
      <c r="B660" t="s">
        <v>3379</v>
      </c>
      <c r="C660" t="s">
        <v>3380</v>
      </c>
      <c r="D660" t="s">
        <v>3381</v>
      </c>
      <c r="E660" s="1">
        <v>6.5000000000000002E-2</v>
      </c>
      <c r="F660" s="1">
        <v>9</v>
      </c>
      <c r="G660" s="1">
        <v>28</v>
      </c>
      <c r="H660" s="1">
        <v>-10</v>
      </c>
      <c r="I660" s="1">
        <v>2.8</v>
      </c>
      <c r="J660" s="1">
        <v>-13.6</v>
      </c>
      <c r="K660" s="1">
        <v>-4</v>
      </c>
      <c r="L660" s="1">
        <v>20.100000000000001</v>
      </c>
      <c r="N660" s="1">
        <v>28.5</v>
      </c>
      <c r="O660" s="1">
        <v>0.157</v>
      </c>
      <c r="Q660" s="112">
        <f t="shared" si="233"/>
        <v>0.91439654131208148</v>
      </c>
      <c r="R660" s="119">
        <f t="shared" si="234"/>
        <v>265.17499698050364</v>
      </c>
      <c r="S660" s="118">
        <f t="shared" si="235"/>
        <v>4.4231843382856209</v>
      </c>
      <c r="T660" s="118">
        <f t="shared" si="229"/>
        <v>10.640930315970778</v>
      </c>
      <c r="U660" s="118">
        <f t="shared" si="230"/>
        <v>-7.4601219511730275</v>
      </c>
      <c r="V660" s="118">
        <f t="shared" si="231"/>
        <v>-14.20486767870486</v>
      </c>
      <c r="W660" s="118">
        <f t="shared" si="232"/>
        <v>-11.024059313907109</v>
      </c>
      <c r="X660" s="118">
        <f>IF(OR(N660="",R660=""),NA(),10*LOG10((G660+'CMOS FOM coeff. calculation'!$Q$3)^'CMOS FOM coeff. calculation'!$P$3*(1000*E660)^'CMOS FOM coeff. calculation'!$N$3*R660^'CMOS FOM coeff. calculation'!$O$3*N660^'CMOS FOM coeff. calculation'!$M$3))</f>
        <v>20.475159642510086</v>
      </c>
      <c r="Z660" s="4" t="s">
        <v>3382</v>
      </c>
    </row>
    <row r="661" spans="1:26">
      <c r="E661" s="1">
        <v>6.5000000000000002E-2</v>
      </c>
      <c r="F661" s="1">
        <v>16</v>
      </c>
      <c r="G661" s="1">
        <v>39</v>
      </c>
      <c r="H661" s="1">
        <v>-10</v>
      </c>
      <c r="I661" s="1">
        <v>4.4000000000000004</v>
      </c>
      <c r="J661" s="1">
        <v>-11</v>
      </c>
      <c r="K661" s="1">
        <v>-2</v>
      </c>
      <c r="L661" s="1">
        <v>14.9</v>
      </c>
      <c r="N661" s="1">
        <v>28.5</v>
      </c>
      <c r="O661" s="1">
        <v>0.157</v>
      </c>
      <c r="Q661" s="112">
        <f t="shared" si="233"/>
        <v>1.8128927632255072</v>
      </c>
      <c r="R661" s="119">
        <f t="shared" si="234"/>
        <v>525.73890133539703</v>
      </c>
      <c r="S661" s="118">
        <f t="shared" si="235"/>
        <v>2.3752760922126015</v>
      </c>
      <c r="T661" s="118">
        <f t="shared" si="229"/>
        <v>12.653928551329948</v>
      </c>
      <c r="U661" s="118">
        <f t="shared" si="230"/>
        <v>-8.6401952758101999</v>
      </c>
      <c r="V661" s="118">
        <f t="shared" si="231"/>
        <v>-17.597624305326182</v>
      </c>
      <c r="W661" s="118">
        <f t="shared" si="232"/>
        <v>-13.583891029806434</v>
      </c>
      <c r="X661" s="118">
        <f>IF(OR(N661="",R661=""),NA(),10*LOG10((G661+'CMOS FOM coeff. calculation'!$Q$3)^'CMOS FOM coeff. calculation'!$P$3*(1000*E661)^'CMOS FOM coeff. calculation'!$N$3*R661^'CMOS FOM coeff. calculation'!$O$3*N661^'CMOS FOM coeff. calculation'!$M$3))</f>
        <v>19.812005403248644</v>
      </c>
    </row>
    <row r="662" spans="1:26" ht="18">
      <c r="A662" t="s">
        <v>3497</v>
      </c>
      <c r="B662" t="s">
        <v>3498</v>
      </c>
      <c r="C662" t="s">
        <v>3500</v>
      </c>
      <c r="D662" t="s">
        <v>3499</v>
      </c>
      <c r="E662" s="1">
        <v>5.5E-2</v>
      </c>
      <c r="F662" s="1">
        <v>2.1</v>
      </c>
      <c r="G662" s="1">
        <v>22.6</v>
      </c>
      <c r="I662" s="1">
        <v>4.04</v>
      </c>
      <c r="J662" s="1">
        <v>-25.1</v>
      </c>
      <c r="L662" s="1">
        <v>21.8</v>
      </c>
      <c r="M662" s="1">
        <v>1.2</v>
      </c>
      <c r="N662" s="1">
        <v>3.05</v>
      </c>
      <c r="P662" s="1">
        <v>0.34799999999999998</v>
      </c>
      <c r="Q662" s="112">
        <f t="shared" si="233"/>
        <v>1.5453385812537852</v>
      </c>
      <c r="R662" s="119">
        <f t="shared" si="234"/>
        <v>448.14818856359773</v>
      </c>
      <c r="S662" s="118">
        <f t="shared" si="235"/>
        <v>0.46464484585468446</v>
      </c>
      <c r="T662" s="118">
        <f t="shared" si="229"/>
        <v>11.272343817829222</v>
      </c>
      <c r="U662" s="118">
        <f t="shared" si="230"/>
        <v>-10.198279502049491</v>
      </c>
      <c r="V662" s="118">
        <f t="shared" si="231"/>
        <v>-14.31117663101222</v>
      </c>
      <c r="W662" s="118">
        <f t="shared" si="232"/>
        <v>-13.237112315232489</v>
      </c>
      <c r="X662" s="118">
        <f>IF(OR(N662="",R662=""),NA(),10*LOG10((G662+'CMOS FOM coeff. calculation'!$Q$3)^'CMOS FOM coeff. calculation'!$P$3*(1000*E662)^'CMOS FOM coeff. calculation'!$N$3*R662^'CMOS FOM coeff. calculation'!$O$3*N662^'CMOS FOM coeff. calculation'!$M$3))</f>
        <v>18.668100713324609</v>
      </c>
      <c r="Z662" t="s">
        <v>3501</v>
      </c>
    </row>
    <row r="663" spans="1:26" ht="17.25">
      <c r="A663" t="s">
        <v>3425</v>
      </c>
      <c r="B663" t="s">
        <v>3511</v>
      </c>
      <c r="C663" t="s">
        <v>3512</v>
      </c>
      <c r="D663" t="s">
        <v>3513</v>
      </c>
      <c r="E663" s="1">
        <v>6.5000000000000002E-2</v>
      </c>
      <c r="F663" s="1">
        <v>5</v>
      </c>
      <c r="G663" s="1">
        <v>11.1</v>
      </c>
      <c r="H663" s="1">
        <v>-5</v>
      </c>
      <c r="I663" s="1">
        <v>1.94</v>
      </c>
      <c r="J663" s="1">
        <v>-7.8</v>
      </c>
      <c r="L663" s="1">
        <v>17.600000000000001</v>
      </c>
      <c r="M663" s="1">
        <v>1</v>
      </c>
      <c r="N663" s="1">
        <v>10</v>
      </c>
      <c r="O663" s="1">
        <v>0.20799999999999999</v>
      </c>
      <c r="Q663" s="112">
        <f t="shared" si="233"/>
        <v>0.57310710261990427</v>
      </c>
      <c r="R663" s="119">
        <f t="shared" si="234"/>
        <v>166.20105975977225</v>
      </c>
      <c r="S663" s="118">
        <f t="shared" si="235"/>
        <v>9.3839671694706084</v>
      </c>
      <c r="T663" s="118">
        <f t="shared" si="229"/>
        <v>9.7746932939952984</v>
      </c>
      <c r="U663" s="118">
        <f t="shared" si="230"/>
        <v>-7.4447932795419032</v>
      </c>
      <c r="V663" s="118">
        <f t="shared" si="231"/>
        <v>-9.3941928131018333</v>
      </c>
      <c r="W663" s="118">
        <f t="shared" si="232"/>
        <v>-7.0642927986484381</v>
      </c>
      <c r="X663" s="118">
        <f>IF(OR(N663="",R663=""),NA(),10*LOG10((G663+'CMOS FOM coeff. calculation'!$Q$3)^'CMOS FOM coeff. calculation'!$P$3*(1000*E663)^'CMOS FOM coeff. calculation'!$N$3*R663^'CMOS FOM coeff. calculation'!$O$3*N663^'CMOS FOM coeff. calculation'!$M$3))</f>
        <v>18.767099821895762</v>
      </c>
      <c r="Z663" t="s">
        <v>3514</v>
      </c>
    </row>
    <row r="664" spans="1:26" ht="18">
      <c r="A664" t="s">
        <v>3502</v>
      </c>
      <c r="B664" t="s">
        <v>3545</v>
      </c>
      <c r="C664" t="s">
        <v>3546</v>
      </c>
      <c r="D664" t="s">
        <v>3547</v>
      </c>
      <c r="E664" s="1">
        <v>0.04</v>
      </c>
      <c r="F664" s="1">
        <v>31</v>
      </c>
      <c r="G664" s="1">
        <v>146.5</v>
      </c>
      <c r="H664" s="1">
        <v>-9</v>
      </c>
      <c r="I664" s="1">
        <v>6.2</v>
      </c>
      <c r="J664" s="1">
        <v>-19.7</v>
      </c>
      <c r="L664" s="1">
        <v>20.9</v>
      </c>
      <c r="M664" s="1">
        <v>1</v>
      </c>
      <c r="N664" s="1">
        <v>49</v>
      </c>
      <c r="O664" s="1">
        <v>0.09</v>
      </c>
      <c r="P664" s="1">
        <v>0.24</v>
      </c>
      <c r="Q664" s="112">
        <f t="shared" si="233"/>
        <v>3.1946610143157099</v>
      </c>
      <c r="R664" s="119">
        <f t="shared" si="234"/>
        <v>926.4516941515559</v>
      </c>
      <c r="S664" s="118">
        <f t="shared" si="235"/>
        <v>1.3075415455040307</v>
      </c>
      <c r="T664" s="118">
        <f t="shared" si="229"/>
        <v>14.878517370361015</v>
      </c>
      <c r="U664" s="118">
        <f t="shared" si="230"/>
        <v>-9.9073117242467745</v>
      </c>
      <c r="V664" s="118">
        <f t="shared" si="231"/>
        <v>-22.683978034100434</v>
      </c>
      <c r="W664" s="118">
        <f t="shared" si="232"/>
        <v>-17.712772387986192</v>
      </c>
      <c r="X664" s="118">
        <f>IF(OR(N664="",R664=""),NA(),10*LOG10((G664+'CMOS FOM coeff. calculation'!$Q$3)^'CMOS FOM coeff. calculation'!$P$3*(1000*E664)^'CMOS FOM coeff. calculation'!$N$3*R664^'CMOS FOM coeff. calculation'!$O$3*N664^'CMOS FOM coeff. calculation'!$M$3))</f>
        <v>25.252940296099297</v>
      </c>
      <c r="Z664" t="s">
        <v>3548</v>
      </c>
    </row>
    <row r="665" spans="1:26">
      <c r="A665" t="s">
        <v>3515</v>
      </c>
      <c r="B665" t="s">
        <v>3516</v>
      </c>
      <c r="C665" t="s">
        <v>3517</v>
      </c>
      <c r="D665" t="s">
        <v>3518</v>
      </c>
      <c r="E665" s="1">
        <v>6.5000000000000002E-2</v>
      </c>
      <c r="F665" s="1">
        <v>0.85</v>
      </c>
      <c r="G665" s="1">
        <v>2.2250000000000001</v>
      </c>
      <c r="H665" s="1">
        <v>-3</v>
      </c>
      <c r="I665" s="1">
        <v>3.5</v>
      </c>
      <c r="K665" s="1">
        <v>5.8</v>
      </c>
      <c r="L665" s="1">
        <v>18.3</v>
      </c>
      <c r="M665" s="1">
        <v>0.9</v>
      </c>
      <c r="N665" s="1">
        <v>0.5</v>
      </c>
      <c r="O665" s="1">
        <v>0.27</v>
      </c>
      <c r="Q665" s="112">
        <f t="shared" si="233"/>
        <v>1.2573182380939558</v>
      </c>
      <c r="R665" s="119">
        <f t="shared" si="234"/>
        <v>364.62228904724719</v>
      </c>
      <c r="S665" s="118" t="str">
        <f t="shared" si="235"/>
        <v/>
      </c>
      <c r="T665" s="118">
        <f t="shared" si="229"/>
        <v>13.503307309902304</v>
      </c>
      <c r="U665" s="118">
        <f t="shared" si="230"/>
        <v>-13.738577557521328</v>
      </c>
      <c r="V665" s="118" t="e">
        <f t="shared" si="231"/>
        <v>#N/A</v>
      </c>
      <c r="W665" s="118" t="e">
        <f t="shared" si="232"/>
        <v>#N/A</v>
      </c>
      <c r="X665" s="118">
        <f>IF(OR(N665="",R665=""),NA(),10*LOG10((G665+'CMOS FOM coeff. calculation'!$Q$3)^'CMOS FOM coeff. calculation'!$P$3*(1000*E665)^'CMOS FOM coeff. calculation'!$N$3*R665^'CMOS FOM coeff. calculation'!$O$3*N665^'CMOS FOM coeff. calculation'!$M$3))</f>
        <v>14.545972133853729</v>
      </c>
      <c r="Z665" t="s">
        <v>3519</v>
      </c>
    </row>
    <row r="666" spans="1:26" ht="18">
      <c r="A666" t="s">
        <v>3400</v>
      </c>
      <c r="B666" t="s">
        <v>3533</v>
      </c>
      <c r="C666" t="s">
        <v>3534</v>
      </c>
      <c r="D666" t="s">
        <v>3535</v>
      </c>
      <c r="E666" s="1">
        <v>0.09</v>
      </c>
      <c r="F666" s="1">
        <v>11</v>
      </c>
      <c r="G666" s="1">
        <v>82</v>
      </c>
      <c r="H666" s="1">
        <v>-10</v>
      </c>
      <c r="I666" s="1">
        <v>5</v>
      </c>
      <c r="J666" s="1">
        <v>-22</v>
      </c>
      <c r="K666" s="1">
        <v>-14</v>
      </c>
      <c r="L666" s="1">
        <v>18.399999999999999</v>
      </c>
      <c r="M666" s="1">
        <v>1</v>
      </c>
      <c r="N666" s="1">
        <v>14</v>
      </c>
      <c r="O666" s="1">
        <v>0.48699999999999999</v>
      </c>
      <c r="Q666" s="112">
        <f t="shared" si="233"/>
        <v>2.1939904710026275</v>
      </c>
      <c r="R666" s="119">
        <f t="shared" si="234"/>
        <v>636.25723659076198</v>
      </c>
      <c r="S666" s="118">
        <f t="shared" si="235"/>
        <v>0.43020625879536356</v>
      </c>
      <c r="T666" s="118">
        <f t="shared" si="229"/>
        <v>8.4174483472135684</v>
      </c>
      <c r="U666" s="118">
        <f t="shared" si="230"/>
        <v>-4.9461393966861511</v>
      </c>
      <c r="V666" s="118">
        <f t="shared" si="231"/>
        <v>-16.352473924318808</v>
      </c>
      <c r="W666" s="118">
        <f t="shared" si="232"/>
        <v>-12.881164973791391</v>
      </c>
      <c r="X666" s="118">
        <f>IF(OR(N666="",R666=""),NA(),10*LOG10((G666+'CMOS FOM coeff. calculation'!$Q$3)^'CMOS FOM coeff. calculation'!$P$3*(1000*E666)^'CMOS FOM coeff. calculation'!$N$3*R666^'CMOS FOM coeff. calculation'!$O$3*N666^'CMOS FOM coeff. calculation'!$M$3))</f>
        <v>25.818248321352755</v>
      </c>
      <c r="Z666" t="s">
        <v>3536</v>
      </c>
    </row>
    <row r="667" spans="1:26" ht="17.25">
      <c r="A667" t="s">
        <v>3580</v>
      </c>
      <c r="B667" t="s">
        <v>3537</v>
      </c>
      <c r="C667" t="s">
        <v>3538</v>
      </c>
      <c r="D667" t="s">
        <v>3539</v>
      </c>
      <c r="E667" s="1">
        <v>0.13</v>
      </c>
      <c r="F667" s="1">
        <v>10</v>
      </c>
      <c r="G667" s="1">
        <v>23</v>
      </c>
      <c r="H667" s="1">
        <v>-6</v>
      </c>
      <c r="I667" s="1">
        <v>2.6</v>
      </c>
      <c r="J667" s="1">
        <v>-10</v>
      </c>
      <c r="K667" s="1">
        <v>5</v>
      </c>
      <c r="L667" s="1">
        <v>13.2</v>
      </c>
      <c r="M667" s="1">
        <v>1.55</v>
      </c>
      <c r="N667" s="1">
        <v>32.67</v>
      </c>
      <c r="O667" s="1">
        <v>0.61</v>
      </c>
      <c r="Q667" s="112">
        <f t="shared" si="233"/>
        <v>0.8609064310683221</v>
      </c>
      <c r="R667" s="119">
        <f t="shared" si="234"/>
        <v>249.6628650098134</v>
      </c>
      <c r="S667" s="118">
        <f t="shared" si="235"/>
        <v>1.9892961308540393</v>
      </c>
      <c r="T667" s="118">
        <f t="shared" si="229"/>
        <v>7.1326263646313208</v>
      </c>
      <c r="U667" s="118">
        <f t="shared" si="230"/>
        <v>-3.7992930312979869</v>
      </c>
      <c r="V667" s="118">
        <f t="shared" si="231"/>
        <v>-12.769695980839643</v>
      </c>
      <c r="W667" s="118">
        <f t="shared" si="232"/>
        <v>-9.4363626475063089</v>
      </c>
      <c r="X667" s="118">
        <f>IF(OR(N667="",R667=""),NA(),10*LOG10((G667+'CMOS FOM coeff. calculation'!$Q$3)^'CMOS FOM coeff. calculation'!$P$3*(1000*E667)^'CMOS FOM coeff. calculation'!$N$3*R667^'CMOS FOM coeff. calculation'!$O$3*N667^'CMOS FOM coeff. calculation'!$M$3))</f>
        <v>21.603978445214853</v>
      </c>
      <c r="Z667" t="s">
        <v>3540</v>
      </c>
    </row>
    <row r="668" spans="1:26">
      <c r="A668" t="s">
        <v>3400</v>
      </c>
      <c r="B668" t="s">
        <v>3549</v>
      </c>
      <c r="C668" t="s">
        <v>2903</v>
      </c>
      <c r="D668" t="s">
        <v>3550</v>
      </c>
      <c r="E668" s="1">
        <v>0.09</v>
      </c>
      <c r="F668" s="1">
        <v>3.4</v>
      </c>
      <c r="G668" s="1">
        <v>27.5</v>
      </c>
      <c r="H668" s="1">
        <v>-10</v>
      </c>
      <c r="I668" s="1">
        <v>2.2400000000000002</v>
      </c>
      <c r="J668" s="1">
        <v>-28</v>
      </c>
      <c r="K668" s="1">
        <v>-18.399999999999999</v>
      </c>
      <c r="L668" s="1">
        <v>21.6</v>
      </c>
      <c r="M668" s="1">
        <v>0.35</v>
      </c>
      <c r="N668" s="1">
        <v>3.8</v>
      </c>
      <c r="O668" s="1">
        <v>0.29299999999999998</v>
      </c>
      <c r="Q668" s="112">
        <f t="shared" si="233"/>
        <v>0.67964486972747384</v>
      </c>
      <c r="R668" s="119">
        <f t="shared" si="234"/>
        <v>197.09701222096743</v>
      </c>
      <c r="S668" s="118">
        <f t="shared" si="235"/>
        <v>0.22750187208431633</v>
      </c>
      <c r="T668" s="118">
        <f t="shared" si="229"/>
        <v>4.60331433392113</v>
      </c>
      <c r="U668" s="118">
        <f t="shared" si="230"/>
        <v>-2.8317179437802795</v>
      </c>
      <c r="V668" s="118">
        <f t="shared" si="231"/>
        <v>-9.9912270843339517</v>
      </c>
      <c r="W668" s="118">
        <f t="shared" si="232"/>
        <v>-8.2196306941931017</v>
      </c>
      <c r="X668" s="118">
        <f>IF(OR(N668="",R668=""),NA(),10*LOG10((G668+'CMOS FOM coeff. calculation'!$Q$3)^'CMOS FOM coeff. calculation'!$P$3*(1000*E668)^'CMOS FOM coeff. calculation'!$N$3*R668^'CMOS FOM coeff. calculation'!$O$3*N668^'CMOS FOM coeff. calculation'!$M$3))</f>
        <v>24.270731104294132</v>
      </c>
      <c r="Z668" t="s">
        <v>3551</v>
      </c>
    </row>
    <row r="669" spans="1:26">
      <c r="A669" t="s">
        <v>3524</v>
      </c>
      <c r="B669" t="s">
        <v>3572</v>
      </c>
      <c r="C669" t="s">
        <v>3573</v>
      </c>
      <c r="D669" t="s">
        <v>3574</v>
      </c>
      <c r="E669" s="1">
        <v>6.5000000000000002E-2</v>
      </c>
      <c r="F669" s="1">
        <v>4.0999999999999996</v>
      </c>
      <c r="G669" s="1">
        <v>11.45</v>
      </c>
      <c r="H669" s="1">
        <v>-12</v>
      </c>
      <c r="I669" s="1">
        <v>1.58</v>
      </c>
      <c r="J669" s="1">
        <v>-27</v>
      </c>
      <c r="L669" s="1">
        <v>31.1</v>
      </c>
      <c r="M669" s="1">
        <v>3.3</v>
      </c>
      <c r="N669" s="1">
        <v>20</v>
      </c>
      <c r="O669" s="1">
        <v>0.39</v>
      </c>
      <c r="Q669" s="112">
        <f t="shared" si="233"/>
        <v>0.43913945899468793</v>
      </c>
      <c r="R669" s="119">
        <f t="shared" si="234"/>
        <v>127.3504431084595</v>
      </c>
      <c r="S669" s="118">
        <f t="shared" si="235"/>
        <v>2.5684005204538964</v>
      </c>
      <c r="T669" s="118">
        <f t="shared" si="229"/>
        <v>9.5319099441927762</v>
      </c>
      <c r="U669" s="118">
        <f t="shared" si="230"/>
        <v>-7.489297088460324</v>
      </c>
      <c r="V669" s="118">
        <f t="shared" si="231"/>
        <v>-12.075530243306078</v>
      </c>
      <c r="W669" s="118">
        <f t="shared" si="232"/>
        <v>-10.032917387573626</v>
      </c>
      <c r="X669" s="118">
        <f>IF(OR(N669="",R669=""),NA(),10*LOG10((G669+'CMOS FOM coeff. calculation'!$Q$3)^'CMOS FOM coeff. calculation'!$P$3*(1000*E669)^'CMOS FOM coeff. calculation'!$N$3*R669^'CMOS FOM coeff. calculation'!$O$3*N669^'CMOS FOM coeff. calculation'!$M$3))</f>
        <v>19.325076750486861</v>
      </c>
      <c r="Z669" t="s">
        <v>3575</v>
      </c>
    </row>
    <row r="670" spans="1:26">
      <c r="A670" t="s">
        <v>3708</v>
      </c>
      <c r="B670" t="s">
        <v>3709</v>
      </c>
      <c r="C670" t="s">
        <v>3710</v>
      </c>
      <c r="D670" t="s">
        <v>3711</v>
      </c>
      <c r="E670" s="1">
        <v>0.04</v>
      </c>
      <c r="F670" s="1">
        <v>52</v>
      </c>
      <c r="G670" s="1">
        <v>84</v>
      </c>
      <c r="H670" s="1">
        <v>-10</v>
      </c>
      <c r="I670" s="1">
        <v>4.2</v>
      </c>
      <c r="L670" s="1">
        <v>16.399999999999999</v>
      </c>
      <c r="M670" s="1">
        <v>0.9</v>
      </c>
      <c r="N670" s="1">
        <v>20.7</v>
      </c>
      <c r="O670" s="1">
        <v>0.1628</v>
      </c>
      <c r="Q670" s="112">
        <f t="shared" ref="Q670:Q684" si="236">IF(OR(I670="",L670=""),"",(10^(I670/10)-1)*10^(L670/10)/(10^(L670/10)-1))</f>
        <v>1.6684909104523049</v>
      </c>
      <c r="R670" s="119">
        <f t="shared" ref="R670:R684" si="237">IF(Q670="","",290*Q670)</f>
        <v>483.8623640311684</v>
      </c>
      <c r="S670" s="118" t="str">
        <f t="shared" ref="S670:S683" si="238">IF(OR(J670="",L670=""),"",10^(J670/10)*(10^(L670/10)-1))</f>
        <v/>
      </c>
      <c r="T670" s="118">
        <f>IF(OR(Q670="",N670="",E670="",G670=""),NA(),10*LOG10(Q670*N670^(1/3)*E670^(-4/3)*G670^(-2/3)))</f>
        <v>12.420477810697379</v>
      </c>
      <c r="U670" s="118">
        <f>IF(OR(ISNA(T670),F670=""),NA(),10*LOG10(F670^(1/3))-T670)</f>
        <v>-6.7004666652480491</v>
      </c>
      <c r="V670" s="118" t="e">
        <f>IF(OR(ISNA(T670),S670=""),NA(),10*LOG10(S670^(1/3)*E670*G670^(1/3)/Q670/N670^(2/3)))</f>
        <v>#N/A</v>
      </c>
      <c r="W670" s="118" t="e">
        <f>IF(OR(ISNA(V670),F670=""),NA(),V670+10*LOG10(F670^(1/3)))</f>
        <v>#N/A</v>
      </c>
      <c r="X670" s="118">
        <f>IF(OR(N670="",R670=""),NA(),10*LOG10((G670+'CMOS FOM coeff. calculation'!$Q$3)^'CMOS FOM coeff. calculation'!$P$3*(1000*E670)^'CMOS FOM coeff. calculation'!$N$3*R670^'CMOS FOM coeff. calculation'!$O$3*N670^'CMOS FOM coeff. calculation'!$M$3))</f>
        <v>24.262212417466557</v>
      </c>
      <c r="Z670" t="s">
        <v>3712</v>
      </c>
    </row>
    <row r="671" spans="1:26">
      <c r="A671" t="s">
        <v>3954</v>
      </c>
      <c r="B671" t="s">
        <v>3713</v>
      </c>
      <c r="C671" t="s">
        <v>3714</v>
      </c>
      <c r="D671" t="s">
        <v>3715</v>
      </c>
      <c r="E671" s="1">
        <v>0.04</v>
      </c>
      <c r="F671" s="1">
        <v>7</v>
      </c>
      <c r="G671" s="1">
        <v>143</v>
      </c>
      <c r="H671" s="1">
        <v>-3</v>
      </c>
      <c r="I671" s="1">
        <v>7.6</v>
      </c>
      <c r="J671" s="1">
        <v>-29</v>
      </c>
      <c r="L671" s="1">
        <v>27.74</v>
      </c>
      <c r="M671" s="1">
        <v>0.9</v>
      </c>
      <c r="N671" s="1">
        <v>27.1</v>
      </c>
      <c r="O671" s="1">
        <v>0.35</v>
      </c>
      <c r="Q671" s="112">
        <f t="shared" si="236"/>
        <v>4.7624129621310551</v>
      </c>
      <c r="R671" s="119">
        <f t="shared" si="237"/>
        <v>1381.0997590180059</v>
      </c>
      <c r="S671" s="118">
        <f t="shared" si="238"/>
        <v>0.74691057509935976</v>
      </c>
      <c r="T671" s="118">
        <f>IF(OR(Q671="",N671="",E671="",G671=""),NA(),10*LOG10(Q671*N671^(1/3)*E671^(-4/3)*G671^(-2/3)))</f>
        <v>15.825128018001839</v>
      </c>
      <c r="U671" s="118">
        <f>IF(OR(ISNA(T671),F671=""),NA(),10*LOG10(F671^(1/3))-T671)</f>
        <v>-13.00813455128765</v>
      </c>
      <c r="V671" s="118">
        <f>IF(OR(ISNA(T671),S671=""),NA(),10*LOG10(S671^(1/3)*E671*G671^(1/3)/Q671/N671^(2/3)))</f>
        <v>-23.548783722156944</v>
      </c>
      <c r="W671" s="118">
        <f>IF(OR(ISNA(V671),F671=""),NA(),V671+10*LOG10(F671^(1/3)))</f>
        <v>-20.731790255442757</v>
      </c>
      <c r="X671" s="118">
        <f>IF(OR(N671="",R671=""),NA(),10*LOG10((G671+'CMOS FOM coeff. calculation'!$Q$3)^'CMOS FOM coeff. calculation'!$P$3*(1000*E671)^'CMOS FOM coeff. calculation'!$N$3*R671^'CMOS FOM coeff. calculation'!$O$3*N671^'CMOS FOM coeff. calculation'!$M$3))</f>
        <v>24.015506746219735</v>
      </c>
      <c r="Z671" t="s">
        <v>3716</v>
      </c>
    </row>
    <row r="672" spans="1:26">
      <c r="A672" t="s">
        <v>3717</v>
      </c>
      <c r="B672" t="s">
        <v>3718</v>
      </c>
      <c r="C672" t="s">
        <v>3719</v>
      </c>
      <c r="D672" t="s">
        <v>3720</v>
      </c>
      <c r="E672" s="1">
        <v>6.5000000000000002E-2</v>
      </c>
      <c r="F672" s="1">
        <v>7.5</v>
      </c>
      <c r="G672" s="1">
        <v>28</v>
      </c>
      <c r="H672" s="1">
        <v>-8</v>
      </c>
      <c r="I672" s="1">
        <v>4.0599999999999996</v>
      </c>
      <c r="J672" s="1">
        <v>-12.1</v>
      </c>
      <c r="K672" s="1">
        <v>-2.5</v>
      </c>
      <c r="L672" s="1">
        <v>16.600000000000001</v>
      </c>
      <c r="M672" s="1">
        <v>1.2</v>
      </c>
      <c r="N672" s="1">
        <v>26.4</v>
      </c>
      <c r="O672" s="1">
        <v>0.1</v>
      </c>
      <c r="Q672" s="112">
        <f t="shared" si="236"/>
        <v>1.5814281303307605</v>
      </c>
      <c r="R672" s="119">
        <f t="shared" si="237"/>
        <v>458.61415779592056</v>
      </c>
      <c r="S672" s="118">
        <f t="shared" si="238"/>
        <v>2.7567234310783073</v>
      </c>
      <c r="T672" s="118">
        <f>IF(OR(Q672="",N672="",E672="",G672=""),NA(),10*LOG10(Q672*N672^(1/3)*E672^(-4/3)*G672^(-2/3)))</f>
        <v>12.909276056007757</v>
      </c>
      <c r="U672" s="118">
        <f>IF(OR(ISNA(T672),F672=""),NA(),10*LOG10(F672^(1/3))-T672)</f>
        <v>-9.9924051780354226</v>
      </c>
      <c r="V672" s="118">
        <f>IF(OR(ISNA(T672),S672=""),NA(),10*LOG10(S672^(1/3)*E672*G672^(1/3)/Q672/N672^(2/3)))</f>
        <v>-17.046883113537515</v>
      </c>
      <c r="W672" s="118">
        <f>IF(OR(ISNA(V672),F672=""),NA(),V672+10*LOG10(F672^(1/3)))</f>
        <v>-14.130012235565182</v>
      </c>
      <c r="X672" s="118">
        <f>IF(OR(N672="",R672=""),NA(),10*LOG10((G672+'CMOS FOM coeff. calculation'!$Q$3)^'CMOS FOM coeff. calculation'!$P$3*(1000*E672)^'CMOS FOM coeff. calculation'!$N$3*R672^'CMOS FOM coeff. calculation'!$O$3*N672^'CMOS FOM coeff. calculation'!$M$3))</f>
        <v>18.40040754333813</v>
      </c>
      <c r="Z672" t="s">
        <v>3721</v>
      </c>
    </row>
    <row r="673" spans="1:26">
      <c r="E673" s="1">
        <v>6.5000000000000002E-2</v>
      </c>
      <c r="F673" s="1">
        <v>7.5</v>
      </c>
      <c r="G673" s="1">
        <v>39</v>
      </c>
      <c r="H673" s="1">
        <v>-6</v>
      </c>
      <c r="I673" s="1">
        <v>4.46</v>
      </c>
      <c r="J673" s="1">
        <v>-16.5</v>
      </c>
      <c r="K673" s="1">
        <v>-6.6</v>
      </c>
      <c r="L673" s="1">
        <v>15</v>
      </c>
      <c r="M673" s="1">
        <v>1.2</v>
      </c>
      <c r="N673" s="1">
        <v>26.4</v>
      </c>
      <c r="O673" s="1">
        <v>0.1</v>
      </c>
      <c r="Q673" s="112">
        <f t="shared" si="236"/>
        <v>1.8510801348123234</v>
      </c>
      <c r="R673" s="119">
        <f t="shared" si="237"/>
        <v>536.81323909557375</v>
      </c>
      <c r="S673" s="118">
        <f t="shared" si="238"/>
        <v>0.68555857299845446</v>
      </c>
      <c r="T673" s="118">
        <f>IF(OR(Q673="",N673="",E673="",G673=""),NA(),10*LOG10(Q673*N673^(1/3)*E673^(-4/3)*G673^(-2/3)))</f>
        <v>12.633656488808899</v>
      </c>
      <c r="U673" s="118">
        <f>IF(OR(ISNA(T673),F673=""),NA(),10*LOG10(F673^(1/3))-T673)</f>
        <v>-9.7167856108365669</v>
      </c>
      <c r="V673" s="118">
        <f>IF(OR(ISNA(T673),S673=""),NA(),10*LOG10(S673^(1/3)*E673*G673^(1/3)/Q673/N673^(2/3)))</f>
        <v>-19.265447570213038</v>
      </c>
      <c r="W673" s="118">
        <f>IF(OR(ISNA(V673),F673=""),NA(),V673+10*LOG10(F673^(1/3)))</f>
        <v>-16.348576692240705</v>
      </c>
      <c r="X673" s="118">
        <f>IF(OR(N673="",R673=""),NA(),10*LOG10((G673+'CMOS FOM coeff. calculation'!$Q$3)^'CMOS FOM coeff. calculation'!$P$3*(1000*E673)^'CMOS FOM coeff. calculation'!$N$3*R673^'CMOS FOM coeff. calculation'!$O$3*N673^'CMOS FOM coeff. calculation'!$M$3))</f>
        <v>19.797009326378909</v>
      </c>
    </row>
    <row r="674" spans="1:26">
      <c r="A674" t="s">
        <v>3579</v>
      </c>
      <c r="B674" t="s">
        <v>3722</v>
      </c>
      <c r="C674" t="s">
        <v>3723</v>
      </c>
      <c r="D674" t="s">
        <v>3724</v>
      </c>
      <c r="E674" s="1">
        <v>6.5000000000000002E-2</v>
      </c>
      <c r="F674" s="1">
        <v>13.5</v>
      </c>
      <c r="G674" s="1">
        <v>59.75</v>
      </c>
      <c r="H674" s="1">
        <v>-10</v>
      </c>
      <c r="I674" s="1">
        <v>6.3</v>
      </c>
      <c r="J674" s="1">
        <v>-11.8</v>
      </c>
      <c r="L674" s="1">
        <v>20</v>
      </c>
      <c r="M674" s="1">
        <v>1.2</v>
      </c>
      <c r="N674" s="1">
        <v>38.4</v>
      </c>
      <c r="O674" s="1">
        <v>0.08</v>
      </c>
      <c r="Q674" s="112">
        <f t="shared" si="236"/>
        <v>3.2987830181979061</v>
      </c>
      <c r="R674" s="119">
        <f t="shared" si="237"/>
        <v>956.64707527739279</v>
      </c>
      <c r="S674" s="118">
        <f t="shared" si="238"/>
        <v>6.5408651352751965</v>
      </c>
      <c r="T674" s="118">
        <f>IF(OR(Q674="",N674="",E674="",G674=""),NA(),10*LOG10(Q674*N674^(1/3)*E674^(-4/3)*G674^(-2/3)))</f>
        <v>14.450210763779328</v>
      </c>
      <c r="U674" s="118">
        <f>IF(OR(ISNA(T674),F674=""),NA(),10*LOG10(F674^(1/3))-T674)</f>
        <v>-10.682431535462641</v>
      </c>
      <c r="V674" s="118">
        <f>IF(OR(ISNA(T674),S674=""),NA(),10*LOG10(S674^(1/3)*E674*G674^(1/3)/Q674/N674^(2/3)))</f>
        <v>-18.976701750556032</v>
      </c>
      <c r="W674" s="118">
        <f>IF(OR(ISNA(V674),F674=""),NA(),V674+10*LOG10(F674^(1/3)))</f>
        <v>-15.208922522239344</v>
      </c>
      <c r="X674" s="118">
        <f>IF(OR(N674="",R674=""),NA(),10*LOG10((G674+'CMOS FOM coeff. calculation'!$Q$3)^'CMOS FOM coeff. calculation'!$P$3*(1000*E674)^'CMOS FOM coeff. calculation'!$N$3*R674^'CMOS FOM coeff. calculation'!$O$3*N674^'CMOS FOM coeff. calculation'!$M$3))</f>
        <v>20.073728881598424</v>
      </c>
      <c r="Z674" t="s">
        <v>3725</v>
      </c>
    </row>
    <row r="675" spans="1:26">
      <c r="A675" t="s">
        <v>3807</v>
      </c>
      <c r="B675" t="s">
        <v>3937</v>
      </c>
      <c r="C675" t="s">
        <v>3938</v>
      </c>
      <c r="D675" t="s">
        <v>3939</v>
      </c>
      <c r="E675" s="1">
        <v>6.5000000000000002E-2</v>
      </c>
      <c r="F675" s="1">
        <v>40.5</v>
      </c>
      <c r="G675" s="1">
        <v>135.85</v>
      </c>
      <c r="H675" s="1">
        <v>-2</v>
      </c>
      <c r="I675" s="1">
        <v>5.74</v>
      </c>
      <c r="J675" s="1">
        <v>-16.100000000000001</v>
      </c>
      <c r="L675" s="1">
        <v>18</v>
      </c>
      <c r="M675" s="1">
        <v>1</v>
      </c>
      <c r="N675" s="1">
        <v>33</v>
      </c>
      <c r="O675" s="1">
        <v>8.5000000000000006E-2</v>
      </c>
      <c r="Q675" s="112">
        <f t="shared" si="236"/>
        <v>2.7940121305077916</v>
      </c>
      <c r="R675" s="119">
        <f t="shared" si="237"/>
        <v>810.26351784725955</v>
      </c>
      <c r="S675" s="118">
        <f t="shared" si="238"/>
        <v>1.524269529755631</v>
      </c>
      <c r="T675" s="118">
        <f>IF(OR(Q675="",N675="",E675="",G675=""),NA(),10*LOG10(Q675*N675^(1/3)*E675^(-4/3)*G675^(-2/3)))</f>
        <v>11.131420299185708</v>
      </c>
      <c r="U675" s="118">
        <f>IF(OR(ISNA(T675),F675=""),NA(),10*LOG10(F675^(1/3))-T675)</f>
        <v>-5.7732368884701462</v>
      </c>
      <c r="V675" s="118">
        <f>IF(OR(ISNA(T675),S675=""),NA(),10*LOG10(S675^(1/3)*E675*G675^(1/3)/Q675/N675^(2/3)))</f>
        <v>-18.736170869626051</v>
      </c>
      <c r="W675" s="118">
        <f>IF(OR(ISNA(V675),F675=""),NA(),V675+10*LOG10(F675^(1/3)))</f>
        <v>-13.377987458910489</v>
      </c>
      <c r="X675" s="118">
        <f>IF(OR(N675="",R675=""),NA(),10*LOG10((G675+'CMOS FOM coeff. calculation'!$Q$3)^'CMOS FOM coeff. calculation'!$P$3*(1000*E675)^'CMOS FOM coeff. calculation'!$N$3*R675^'CMOS FOM coeff. calculation'!$O$3*N675^'CMOS FOM coeff. calculation'!$M$3))</f>
        <v>27.00044904499984</v>
      </c>
      <c r="Z675" t="s">
        <v>3940</v>
      </c>
    </row>
    <row r="676" spans="1:26">
      <c r="A676" t="s">
        <v>3959</v>
      </c>
      <c r="B676" t="s">
        <v>3958</v>
      </c>
      <c r="C676" t="s">
        <v>3960</v>
      </c>
      <c r="D676" t="s">
        <v>3961</v>
      </c>
      <c r="E676" s="1">
        <v>4.4999999999999998E-2</v>
      </c>
      <c r="F676" s="1">
        <v>7.4</v>
      </c>
      <c r="G676" s="1">
        <v>138</v>
      </c>
      <c r="H676" s="1">
        <v>-10</v>
      </c>
      <c r="I676" s="1">
        <v>4.25</v>
      </c>
      <c r="J676" s="1">
        <v>-33.200000000000003</v>
      </c>
      <c r="L676" s="1">
        <v>30.75</v>
      </c>
      <c r="M676" s="1">
        <v>1</v>
      </c>
      <c r="N676" s="1">
        <v>25</v>
      </c>
      <c r="O676" s="1">
        <v>0.13</v>
      </c>
      <c r="Q676" s="112">
        <f t="shared" si="236"/>
        <v>1.662123562489102</v>
      </c>
      <c r="R676" s="119">
        <f t="shared" si="237"/>
        <v>482.01583312183959</v>
      </c>
      <c r="S676" s="118">
        <f t="shared" si="238"/>
        <v>0.56837430075151851</v>
      </c>
      <c r="T676" s="118">
        <f>IF(OR(Q676="",N676="",E676="",G676=""),NA(),10*LOG10(Q676*N676^(1/3)*E676^(-4/3)*G676^(-2/3)))</f>
        <v>10.557738997477767</v>
      </c>
      <c r="U676" s="118">
        <f>IF(OR(ISNA(T676),F676=""),NA(),10*LOG10(F676^(1/3))-T676)</f>
        <v>-7.6602999317078462</v>
      </c>
      <c r="V676" s="118">
        <f>IF(OR(ISNA(T676),S676=""),NA(),10*LOG10(S676^(1/3)*E676*G676^(1/3)/Q676/N676^(2/3)))</f>
        <v>-18.679062917246082</v>
      </c>
      <c r="W676" s="118">
        <f>IF(OR(ISNA(V676),F676=""),NA(),V676+10*LOG10(F676^(1/3)))</f>
        <v>-15.781623851476162</v>
      </c>
      <c r="X676" s="118">
        <f>IF(OR(N676="",R676=""),NA(),10*LOG10((G676+'CMOS FOM coeff. calculation'!$Q$3)^'CMOS FOM coeff. calculation'!$P$3*(1000*E676)^'CMOS FOM coeff. calculation'!$N$3*R676^'CMOS FOM coeff. calculation'!$O$3*N676^'CMOS FOM coeff. calculation'!$M$3))</f>
        <v>28.277348891258384</v>
      </c>
      <c r="Z676" t="s">
        <v>3962</v>
      </c>
    </row>
    <row r="677" spans="1:26">
      <c r="A677" t="s">
        <v>3963</v>
      </c>
      <c r="B677" t="s">
        <v>3964</v>
      </c>
      <c r="C677" t="s">
        <v>3965</v>
      </c>
      <c r="D677" t="s">
        <v>3966</v>
      </c>
      <c r="E677" s="1">
        <v>0.09</v>
      </c>
      <c r="F677" s="1">
        <v>0.1</v>
      </c>
      <c r="G677" s="1">
        <v>2.62</v>
      </c>
      <c r="H677" s="1">
        <v>-10</v>
      </c>
      <c r="I677" s="1">
        <v>1.1000000000000001</v>
      </c>
      <c r="K677" s="1">
        <v>-5.9</v>
      </c>
      <c r="L677" s="1">
        <v>18.48</v>
      </c>
      <c r="M677" s="1">
        <v>1.2</v>
      </c>
      <c r="N677" s="1">
        <v>11.76</v>
      </c>
      <c r="O677" s="1">
        <v>0.36599999999999999</v>
      </c>
      <c r="Q677" s="112">
        <f t="shared" si="236"/>
        <v>0.29239885970511259</v>
      </c>
      <c r="R677" s="119">
        <f t="shared" si="237"/>
        <v>84.795669314482652</v>
      </c>
      <c r="S677" s="118" t="str">
        <f t="shared" si="238"/>
        <v/>
      </c>
      <c r="T677" s="118">
        <f>IF(OR(Q677="",N677="",E677="",G677=""),NA(),10*LOG10(Q677*N677^(1/3)*E677^(-4/3)*G677^(-2/3)))</f>
        <v>9.3825390841186103</v>
      </c>
      <c r="U677" s="118">
        <f>IF(OR(ISNA(T677),F677=""),NA(),10*LOG10(F677^(1/3))-T677)</f>
        <v>-12.715872417451942</v>
      </c>
      <c r="V677" s="118" t="e">
        <f>IF(OR(ISNA(T677),S677=""),NA(),10*LOG10(S677^(1/3)*E677*G677^(1/3)/Q677/N677^(2/3)))</f>
        <v>#N/A</v>
      </c>
      <c r="W677" s="118" t="e">
        <f>IF(OR(ISNA(V677),F677=""),NA(),V677+10*LOG10(F677^(1/3)))</f>
        <v>#N/A</v>
      </c>
      <c r="X677" s="118">
        <f>IF(OR(N677="",R677=""),NA(),10*LOG10((G677+'CMOS FOM coeff. calculation'!$Q$3)^'CMOS FOM coeff. calculation'!$P$3*(1000*E677)^'CMOS FOM coeff. calculation'!$N$3*R677^'CMOS FOM coeff. calculation'!$O$3*N677^'CMOS FOM coeff. calculation'!$M$3))</f>
        <v>18.700039699065535</v>
      </c>
      <c r="Z677" t="s">
        <v>3967</v>
      </c>
    </row>
    <row r="678" spans="1:26">
      <c r="A678" t="s">
        <v>3963</v>
      </c>
      <c r="B678" t="s">
        <v>3968</v>
      </c>
      <c r="C678" t="s">
        <v>3969</v>
      </c>
      <c r="D678" t="s">
        <v>3970</v>
      </c>
      <c r="E678" s="1">
        <v>0.04</v>
      </c>
      <c r="F678" s="1">
        <v>19.8</v>
      </c>
      <c r="G678" s="1">
        <v>79.900000000000006</v>
      </c>
      <c r="H678" s="1">
        <v>-9</v>
      </c>
      <c r="I678" s="1">
        <v>5.96</v>
      </c>
      <c r="J678" s="1">
        <v>-11.7</v>
      </c>
      <c r="L678" s="1">
        <v>11.9</v>
      </c>
      <c r="N678" s="1">
        <v>18</v>
      </c>
      <c r="O678" s="1">
        <v>6.7000000000000004E-2</v>
      </c>
      <c r="Q678" s="112">
        <f t="shared" si="236"/>
        <v>3.1478128913005876</v>
      </c>
      <c r="R678" s="119">
        <f t="shared" si="237"/>
        <v>912.86573847717045</v>
      </c>
      <c r="S678" s="118">
        <f t="shared" si="238"/>
        <v>0.97952025051170166</v>
      </c>
      <c r="T678" s="118">
        <f>IF(OR(Q678="",N678="",E678="",G678=""),NA(),10*LOG10(Q678*N678^(1/3)*E678^(-4/3)*G678^(-2/3)))</f>
        <v>15.119885700053743</v>
      </c>
      <c r="U678" s="118">
        <f>IF(OR(ISNA(T678),F678=""),NA(),10*LOG10(F678^(1/3))-T678)</f>
        <v>-10.797668399181973</v>
      </c>
      <c r="V678" s="118">
        <f>IF(OR(ISNA(T678),S678=""),NA(),10*LOG10(S678^(1/3)*E678*G678^(1/3)/Q678/N678^(2/3)))</f>
        <v>-21.016105222578609</v>
      </c>
      <c r="W678" s="118">
        <f>IF(OR(ISNA(V678),F678=""),NA(),V678+10*LOG10(F678^(1/3)))</f>
        <v>-16.693887921706839</v>
      </c>
      <c r="X678" s="118">
        <f>IF(OR(N678="",R678=""),NA(),10*LOG10((G678+'CMOS FOM coeff. calculation'!$Q$3)^'CMOS FOM coeff. calculation'!$P$3*(1000*E678)^'CMOS FOM coeff. calculation'!$N$3*R678^'CMOS FOM coeff. calculation'!$O$3*N678^'CMOS FOM coeff. calculation'!$M$3))</f>
        <v>21.532005229985703</v>
      </c>
      <c r="Z678" t="s">
        <v>3971</v>
      </c>
    </row>
    <row r="679" spans="1:26">
      <c r="A679" t="s">
        <v>3972</v>
      </c>
      <c r="B679" t="s">
        <v>3973</v>
      </c>
      <c r="C679" t="s">
        <v>3974</v>
      </c>
      <c r="D679" t="s">
        <v>3975</v>
      </c>
      <c r="E679" s="1">
        <v>6.5000000000000002E-2</v>
      </c>
      <c r="F679" s="1">
        <v>19.399999999999999</v>
      </c>
      <c r="G679" s="1">
        <v>77.900000000000006</v>
      </c>
      <c r="H679" s="1">
        <v>-10</v>
      </c>
      <c r="I679" s="1">
        <v>3.77</v>
      </c>
      <c r="J679" s="1">
        <v>-14</v>
      </c>
      <c r="L679" s="1">
        <v>16.399999999999999</v>
      </c>
      <c r="M679" s="1">
        <v>1</v>
      </c>
      <c r="N679" s="1">
        <v>44.5</v>
      </c>
      <c r="O679" s="1">
        <v>0.09</v>
      </c>
      <c r="Q679" s="112">
        <f t="shared" si="236"/>
        <v>1.4147290392941934</v>
      </c>
      <c r="R679" s="119">
        <f t="shared" si="237"/>
        <v>410.27142139531605</v>
      </c>
      <c r="S679" s="118">
        <f t="shared" si="238"/>
        <v>1.6979901116940264</v>
      </c>
      <c r="T679" s="118">
        <f t="shared" ref="T679:T683" si="239">IF(OR(Q679="",N679="",E679="",G679=""),NA(),10*LOG10(Q679*N679^(1/3)*E679^(-4/3)*G679^(-2/3)))</f>
        <v>10.218838244781129</v>
      </c>
      <c r="U679" s="118">
        <f t="shared" ref="U679:U683" si="240">IF(OR(ISNA(T679),F679=""),NA(),10*LOG10(F679^(1/3))-T679)</f>
        <v>-5.9261658116803755</v>
      </c>
      <c r="V679" s="118">
        <f t="shared" ref="V679:V682" si="241">IF(OR(ISNA(T679),S679=""),NA(),10*LOG10(S679^(1/3)*E679*G679^(1/3)/Q679/N679^(2/3)))</f>
        <v>-17.295090473149322</v>
      </c>
      <c r="W679" s="118">
        <f t="shared" ref="W679:W682" si="242">IF(OR(ISNA(V679),F679=""),NA(),V679+10*LOG10(F679^(1/3)))</f>
        <v>-13.002418040048569</v>
      </c>
      <c r="X679" s="118">
        <f>IF(OR(N679="",R679=""),NA(),10*LOG10((G679+'CMOS FOM coeff. calculation'!$Q$3)^'CMOS FOM coeff. calculation'!$P$3*(1000*E679)^'CMOS FOM coeff. calculation'!$N$3*R679^'CMOS FOM coeff. calculation'!$O$3*N679^'CMOS FOM coeff. calculation'!$M$3))</f>
        <v>25.161224684274622</v>
      </c>
      <c r="Z679" t="s">
        <v>3976</v>
      </c>
    </row>
    <row r="680" spans="1:26">
      <c r="A680" t="s">
        <v>3753</v>
      </c>
      <c r="B680" t="s">
        <v>3981</v>
      </c>
      <c r="C680" t="s">
        <v>3982</v>
      </c>
      <c r="D680" t="s">
        <v>3983</v>
      </c>
      <c r="E680" s="1">
        <v>1.6E-2</v>
      </c>
      <c r="F680" s="1">
        <v>51</v>
      </c>
      <c r="G680" s="1">
        <v>34.5</v>
      </c>
      <c r="I680" s="1">
        <v>3.2</v>
      </c>
      <c r="J680" s="1">
        <v>-29</v>
      </c>
      <c r="L680" s="1">
        <v>23</v>
      </c>
      <c r="M680" s="1">
        <v>1.2</v>
      </c>
      <c r="N680" s="1">
        <v>32</v>
      </c>
      <c r="O680" s="1">
        <v>0.23200000000000001</v>
      </c>
      <c r="Q680" s="112">
        <f t="shared" si="236"/>
        <v>1.0947830437050052</v>
      </c>
      <c r="R680" s="119">
        <f t="shared" si="237"/>
        <v>317.48708267445153</v>
      </c>
      <c r="S680" s="118">
        <f t="shared" si="238"/>
        <v>0.2499297177391637</v>
      </c>
      <c r="T680" s="118">
        <f t="shared" si="239"/>
        <v>19.103386815033502</v>
      </c>
      <c r="U680" s="118">
        <f t="shared" si="240"/>
        <v>-13.411486228040381</v>
      </c>
      <c r="V680" s="118">
        <f t="shared" si="241"/>
        <v>-25.26762400614826</v>
      </c>
      <c r="W680" s="118">
        <f t="shared" si="242"/>
        <v>-19.575723419155139</v>
      </c>
      <c r="X680" s="118">
        <f>IF(OR(N680="",R680=""),NA(),10*LOG10((G680+'CMOS FOM coeff. calculation'!$Q$3)^'CMOS FOM coeff. calculation'!$P$3*(1000*E680)^'CMOS FOM coeff. calculation'!$N$3*R680^'CMOS FOM coeff. calculation'!$O$3*N680^'CMOS FOM coeff. calculation'!$M$3))</f>
        <v>16.653584604272563</v>
      </c>
      <c r="Z680" t="s">
        <v>3984</v>
      </c>
    </row>
    <row r="681" spans="1:26" ht="18">
      <c r="A681" t="s">
        <v>3143</v>
      </c>
      <c r="B681" t="s">
        <v>3977</v>
      </c>
      <c r="C681" t="s">
        <v>3978</v>
      </c>
      <c r="D681" t="s">
        <v>3979</v>
      </c>
      <c r="E681" s="1">
        <v>2.1999999999999999E-2</v>
      </c>
      <c r="F681" s="1">
        <v>5.8</v>
      </c>
      <c r="G681" s="1">
        <v>3.3</v>
      </c>
      <c r="H681" s="1">
        <v>-10</v>
      </c>
      <c r="I681" s="1">
        <v>3.9</v>
      </c>
      <c r="J681" s="1">
        <v>-12.5</v>
      </c>
      <c r="K681" s="1">
        <v>-2.2999999999999998</v>
      </c>
      <c r="L681" s="1">
        <v>14.8</v>
      </c>
      <c r="M681" s="1">
        <v>0.9</v>
      </c>
      <c r="N681" s="1">
        <v>9</v>
      </c>
      <c r="O681" s="1">
        <v>2.8000000000000001E-2</v>
      </c>
      <c r="Q681" s="112">
        <f t="shared" si="236"/>
        <v>1.5045285378904534</v>
      </c>
      <c r="R681" s="119">
        <f t="shared" si="237"/>
        <v>436.31327598823145</v>
      </c>
      <c r="S681" s="118">
        <f t="shared" si="238"/>
        <v>1.6420095199427089</v>
      </c>
      <c r="T681" s="118">
        <f t="shared" si="239"/>
        <v>23.599083986482228</v>
      </c>
      <c r="U681" s="118">
        <f t="shared" si="240"/>
        <v>-21.054324007939105</v>
      </c>
      <c r="V681" s="118">
        <f t="shared" si="241"/>
        <v>-22.265095517890966</v>
      </c>
      <c r="W681" s="118">
        <f t="shared" si="242"/>
        <v>-19.720335539347843</v>
      </c>
      <c r="X681" s="118">
        <f>IF(OR(N681="",R681=""),NA(),10*LOG10((G681+'CMOS FOM coeff. calculation'!$Q$3)^'CMOS FOM coeff. calculation'!$P$3*(1000*E681)^'CMOS FOM coeff. calculation'!$N$3*R681^'CMOS FOM coeff. calculation'!$O$3*N681^'CMOS FOM coeff. calculation'!$M$3))</f>
        <v>8.591048870862247</v>
      </c>
      <c r="Z681" t="s">
        <v>3980</v>
      </c>
    </row>
    <row r="682" spans="1:26">
      <c r="A682" t="s">
        <v>3143</v>
      </c>
      <c r="B682" t="s">
        <v>3933</v>
      </c>
      <c r="C682" t="s">
        <v>3934</v>
      </c>
      <c r="D682" t="s">
        <v>3935</v>
      </c>
      <c r="E682" s="1">
        <v>0.09</v>
      </c>
      <c r="F682" s="1">
        <v>6.6</v>
      </c>
      <c r="G682" s="1">
        <v>19.2</v>
      </c>
      <c r="H682" s="1">
        <v>-6</v>
      </c>
      <c r="I682" s="1">
        <v>1.95</v>
      </c>
      <c r="J682" s="1">
        <v>-23</v>
      </c>
      <c r="K682" s="1">
        <v>-12.5</v>
      </c>
      <c r="L682" s="1">
        <v>16.2</v>
      </c>
      <c r="M682" s="1">
        <v>1.8</v>
      </c>
      <c r="N682" s="1">
        <v>3.6</v>
      </c>
      <c r="O682" s="1">
        <v>0.45700000000000002</v>
      </c>
      <c r="Q682" s="112">
        <f t="shared" si="236"/>
        <v>0.58068062817108645</v>
      </c>
      <c r="R682" s="119">
        <f t="shared" si="237"/>
        <v>168.39738216961507</v>
      </c>
      <c r="S682" s="118">
        <f t="shared" si="238"/>
        <v>0.20391774074913119</v>
      </c>
      <c r="T682" s="118">
        <f t="shared" si="239"/>
        <v>4.8818067317034295</v>
      </c>
      <c r="U682" s="118">
        <f t="shared" si="240"/>
        <v>-2.1499936132305346</v>
      </c>
      <c r="V682" s="118">
        <f t="shared" si="241"/>
        <v>-9.8297774919344132</v>
      </c>
      <c r="W682" s="118">
        <f t="shared" si="242"/>
        <v>-7.0979643734615188</v>
      </c>
      <c r="X682" s="118">
        <f>IF(OR(N682="",R682=""),NA(),10*LOG10((G682+'CMOS FOM coeff. calculation'!$Q$3)^'CMOS FOM coeff. calculation'!$P$3*(1000*E682)^'CMOS FOM coeff. calculation'!$N$3*R682^'CMOS FOM coeff. calculation'!$O$3*N682^'CMOS FOM coeff. calculation'!$M$3))</f>
        <v>23.005003877956959</v>
      </c>
      <c r="Z682" t="s">
        <v>3936</v>
      </c>
    </row>
    <row r="683" spans="1:26" ht="18">
      <c r="A683" t="s">
        <v>3834</v>
      </c>
      <c r="B683" t="s">
        <v>4014</v>
      </c>
      <c r="C683" t="s">
        <v>4015</v>
      </c>
      <c r="D683" t="s">
        <v>4016</v>
      </c>
      <c r="E683" s="1">
        <v>2.8000000000000001E-2</v>
      </c>
      <c r="F683" s="1">
        <v>3</v>
      </c>
      <c r="G683" s="1">
        <v>1.6</v>
      </c>
      <c r="H683" s="1">
        <v>-15</v>
      </c>
      <c r="I683" s="1">
        <v>1.4</v>
      </c>
      <c r="J683" s="1">
        <v>-15.8</v>
      </c>
      <c r="K683" s="1">
        <v>-3.6</v>
      </c>
      <c r="L683" s="1">
        <v>26</v>
      </c>
      <c r="M683" s="1">
        <v>1.1000000000000001</v>
      </c>
      <c r="N683" s="1">
        <v>17.399999999999999</v>
      </c>
      <c r="O683" s="1">
        <v>1.7999999999999999E-2</v>
      </c>
      <c r="Q683" s="112">
        <f t="shared" si="236"/>
        <v>0.38134215278222111</v>
      </c>
      <c r="R683" s="119">
        <f t="shared" si="237"/>
        <v>110.58922430684412</v>
      </c>
      <c r="S683" s="118">
        <f t="shared" si="238"/>
        <v>10.444982800590045</v>
      </c>
      <c r="T683" s="118">
        <f t="shared" si="239"/>
        <v>19.292071998188646</v>
      </c>
      <c r="U683" s="118">
        <f t="shared" si="240"/>
        <v>-17.701667815789772</v>
      </c>
      <c r="V683" s="118">
        <f t="shared" ref="V683" si="243">IF(OR(ISNA(T683),S683=""),NA(),10*LOG10(S683^(1/3)*E683*G683^(1/3)/Q683/N683^(2/3)))</f>
        <v>-15.535137108529579</v>
      </c>
      <c r="W683" s="118">
        <f t="shared" ref="W683" si="244">IF(OR(ISNA(V683),F683=""),NA(),V683+10*LOG10(F683^(1/3)))</f>
        <v>-13.944732926130705</v>
      </c>
      <c r="X683" s="118">
        <f>IF(OR(N683="",R683=""),NA(),10*LOG10((G683+'CMOS FOM coeff. calculation'!$Q$3)^'CMOS FOM coeff. calculation'!$P$3*(1000*E683)^'CMOS FOM coeff. calculation'!$N$3*R683^'CMOS FOM coeff. calculation'!$O$3*N683^'CMOS FOM coeff. calculation'!$M$3))</f>
        <v>13.228734155264018</v>
      </c>
      <c r="Z683" t="s">
        <v>4017</v>
      </c>
    </row>
    <row r="684" spans="1:26">
      <c r="E684" s="1">
        <v>2.8000000000000001E-2</v>
      </c>
      <c r="F684" s="1">
        <v>3</v>
      </c>
      <c r="G684" s="1">
        <v>1.6</v>
      </c>
      <c r="H684" s="1">
        <v>-6</v>
      </c>
      <c r="I684" s="1">
        <v>11.2</v>
      </c>
      <c r="K684" s="1">
        <v>4.4000000000000004</v>
      </c>
      <c r="L684" s="1">
        <v>13.5</v>
      </c>
      <c r="M684" s="1">
        <v>1.1000000000000001</v>
      </c>
      <c r="N684" s="1">
        <v>2.4</v>
      </c>
      <c r="O684" s="1">
        <v>1.7999999999999999E-2</v>
      </c>
      <c r="Q684" s="112">
        <f t="shared" ref="Q684:Q686" si="245">IF(OR(I684="",L684=""),"",(10^(I684/10)-1)*10^(L684/10)/(10^(L684/10)-1))</f>
        <v>12.752186639139088</v>
      </c>
      <c r="R684" s="119">
        <f t="shared" ref="R684:R686" si="246">IF(Q684="","",290*Q684)</f>
        <v>3698.1341253503356</v>
      </c>
      <c r="S684" s="118" t="str">
        <f t="shared" ref="S684:S685" si="247">IF(OR(J684="",L684=""),"",10^(J684/10)*(10^(L684/10)-1))</f>
        <v/>
      </c>
      <c r="T684" s="118">
        <f t="shared" ref="T684:T686" si="248">IF(OR(Q684="",N684="",E684="",G684=""),NA(),10*LOG10(Q684*N684^(1/3)*E684^(-4/3)*G684^(-2/3)))</f>
        <v>31.666977107127153</v>
      </c>
      <c r="U684" s="118">
        <f t="shared" ref="U684:U686" si="249">IF(OR(ISNA(T684),F684=""),NA(),10*LOG10(F684^(1/3))-T684)</f>
        <v>-30.076572924728278</v>
      </c>
      <c r="V684" s="118" t="e">
        <f t="shared" ref="V684:V685" si="250">IF(OR(ISNA(T684),S684=""),NA(),10*LOG10(S684^(1/3)*E684*G684^(1/3)/Q684/N684^(2/3)))</f>
        <v>#N/A</v>
      </c>
      <c r="W684" s="118" t="e">
        <f t="shared" ref="W684:W685" si="251">IF(OR(ISNA(V684),F684=""),NA(),V684+10*LOG10(F684^(1/3)))</f>
        <v>#N/A</v>
      </c>
      <c r="X684" s="118">
        <f>IF(OR(N684="",R684=""),NA(),10*LOG10((G684+'CMOS FOM coeff. calculation'!$Q$3)^'CMOS FOM coeff. calculation'!$P$3*(1000*E684)^'CMOS FOM coeff. calculation'!$N$3*R684^'CMOS FOM coeff. calculation'!$O$3*N684^'CMOS FOM coeff. calculation'!$M$3))</f>
        <v>1.2309815506483683</v>
      </c>
    </row>
    <row r="685" spans="1:26">
      <c r="A685" t="s">
        <v>3959</v>
      </c>
      <c r="B685" t="s">
        <v>4018</v>
      </c>
      <c r="C685" t="s">
        <v>4019</v>
      </c>
      <c r="D685" t="s">
        <v>4020</v>
      </c>
      <c r="E685" s="1">
        <v>6.5000000000000002E-2</v>
      </c>
      <c r="F685" s="1">
        <v>18.399999999999999</v>
      </c>
      <c r="G685" s="1">
        <v>30</v>
      </c>
      <c r="H685" s="1">
        <v>-7</v>
      </c>
      <c r="I685" s="1">
        <v>1.92</v>
      </c>
      <c r="J685" s="1">
        <v>-12.5</v>
      </c>
      <c r="K685" s="1">
        <v>2.2000000000000002</v>
      </c>
      <c r="L685" s="1">
        <v>18.3</v>
      </c>
      <c r="M685" s="1">
        <v>1</v>
      </c>
      <c r="N685" s="1">
        <v>27.4</v>
      </c>
      <c r="O685" s="1">
        <v>9.6000000000000002E-2</v>
      </c>
      <c r="P685" s="1">
        <v>0.245</v>
      </c>
      <c r="Q685" s="112">
        <f t="shared" ref="Q685:Q686" si="252">IF(OR(I685="",L685=""),"",(10^(I685/10)-1)*10^(L685/10)/(10^(L685/10)-1))</f>
        <v>0.56431242400399284</v>
      </c>
      <c r="R685" s="119">
        <f t="shared" ref="R685:R686" si="253">IF(Q685="","",290*Q685)</f>
        <v>163.65060296115792</v>
      </c>
      <c r="S685" s="118">
        <f t="shared" ref="S685:S686" si="254">IF(OR(J685="",L685=""),"",10^(J685/10)*(10^(L685/10)-1))</f>
        <v>3.7456598306865763</v>
      </c>
      <c r="T685" s="118">
        <f t="shared" ref="T685:T686" si="255">IF(OR(Q685="",N685="",E685="",G685=""),NA(),10*LOG10(Q685*N685^(1/3)*E685^(-4/3)*G685^(-2/3)))</f>
        <v>8.2880448748406597</v>
      </c>
      <c r="U685" s="118">
        <f t="shared" ref="U685:U686" si="256">IF(OR(ISNA(T685),F685=""),NA(),10*LOG10(F685^(1/3))-T685)</f>
        <v>-4.071985464808872</v>
      </c>
      <c r="V685" s="118">
        <f t="shared" ref="V685:V686" si="257">IF(OR(ISNA(T685),S685=""),NA(),10*LOG10(S685^(1/3)*E685*G685^(1/3)/Q685/N685^(2/3)))</f>
        <v>-12.135567676983516</v>
      </c>
      <c r="W685" s="118">
        <f t="shared" ref="W685:W686" si="258">IF(OR(ISNA(V685),F685=""),NA(),V685+10*LOG10(F685^(1/3)))</f>
        <v>-7.9195082669517287</v>
      </c>
      <c r="X685" s="118">
        <f>IF(OR(N685="",R685=""),NA(),10*LOG10((G685+'CMOS FOM coeff. calculation'!$Q$3)^'CMOS FOM coeff. calculation'!$P$3*(1000*E685)^'CMOS FOM coeff. calculation'!$N$3*R685^'CMOS FOM coeff. calculation'!$O$3*N685^'CMOS FOM coeff. calculation'!$M$3))</f>
        <v>22.798079269822775</v>
      </c>
      <c r="Z685" t="s">
        <v>4021</v>
      </c>
    </row>
    <row r="686" spans="1:26">
      <c r="A686" t="s">
        <v>3143</v>
      </c>
      <c r="B686" t="s">
        <v>4026</v>
      </c>
      <c r="C686" t="s">
        <v>4028</v>
      </c>
      <c r="D686" t="s">
        <v>4029</v>
      </c>
      <c r="E686" s="1">
        <v>4.4999999999999998E-2</v>
      </c>
      <c r="F686" s="1">
        <v>20.7</v>
      </c>
      <c r="G686" s="1">
        <v>15.35</v>
      </c>
      <c r="H686" s="1">
        <v>-10</v>
      </c>
      <c r="I686" s="1">
        <v>2.6</v>
      </c>
      <c r="J686" s="1">
        <v>-18.899999999999999</v>
      </c>
      <c r="K686" s="1">
        <v>-9.6</v>
      </c>
      <c r="L686" s="1">
        <v>21.2</v>
      </c>
      <c r="M686" s="1">
        <v>1</v>
      </c>
      <c r="N686" s="1">
        <v>16</v>
      </c>
      <c r="O686" s="1">
        <v>0.13</v>
      </c>
      <c r="Q686" s="112">
        <f t="shared" si="252"/>
        <v>0.82596645491422649</v>
      </c>
      <c r="R686" s="119">
        <f t="shared" si="253"/>
        <v>239.53027192512567</v>
      </c>
      <c r="S686" s="118">
        <f t="shared" si="254"/>
        <v>1.6853611569448137</v>
      </c>
      <c r="T686" s="118">
        <f t="shared" si="255"/>
        <v>13.23313465594882</v>
      </c>
      <c r="U686" s="118">
        <f t="shared" si="256"/>
        <v>-8.8465668377590951</v>
      </c>
      <c r="V686" s="118">
        <f t="shared" si="257"/>
        <v>-15.955627642172519</v>
      </c>
      <c r="W686" s="118">
        <f t="shared" si="258"/>
        <v>-11.569059823982794</v>
      </c>
      <c r="X686" s="118">
        <f>IF(OR(N686="",R686=""),NA(),10*LOG10((G686+'CMOS FOM coeff. calculation'!$Q$3)^'CMOS FOM coeff. calculation'!$P$3*(1000*E686)^'CMOS FOM coeff. calculation'!$N$3*R686^'CMOS FOM coeff. calculation'!$O$3*N686^'CMOS FOM coeff. calculation'!$M$3))</f>
        <v>17.161153667800914</v>
      </c>
      <c r="Z686" t="s">
        <v>4027</v>
      </c>
    </row>
  </sheetData>
  <phoneticPr fontId="18" type="noConversion"/>
  <hyperlinks>
    <hyperlink ref="Z9" r:id="rId1" display="https://ieeexplore-ieee-org.ezproxy.lib.ucalgary.ca/stamp/stamp.jsp?tp=&amp;arnumber=1420746" xr:uid="{00000000-0004-0000-0100-000000000000}"/>
    <hyperlink ref="Z12" r:id="rId2" xr:uid="{00000000-0004-0000-0100-000001000000}"/>
    <hyperlink ref="Z11" r:id="rId3" xr:uid="{00000000-0004-0000-0100-000002000000}"/>
    <hyperlink ref="Z10" r:id="rId4" xr:uid="{00000000-0004-0000-0100-000003000000}"/>
    <hyperlink ref="Z7" r:id="rId5" xr:uid="{00000000-0004-0000-0100-000004000000}"/>
    <hyperlink ref="Z6" r:id="rId6" display="https://ieeexplore-ieee-org.ezproxy.lib.ucalgary.ca/stamp/stamp.jsp?tp=&amp;arnumber=1393200&amp;tag=1" xr:uid="{00000000-0004-0000-0100-000005000000}"/>
    <hyperlink ref="Z607" r:id="rId7" xr:uid="{00000000-0004-0000-0100-000006000000}"/>
    <hyperlink ref="Z610" r:id="rId8" xr:uid="{00000000-0004-0000-0100-000007000000}"/>
    <hyperlink ref="Z201" r:id="rId9" xr:uid="{00000000-0004-0000-0100-000008000000}"/>
    <hyperlink ref="Z412" r:id="rId10" xr:uid="{00000000-0004-0000-0100-000009000000}"/>
    <hyperlink ref="Z342" r:id="rId11" xr:uid="{00000000-0004-0000-0100-00000A000000}"/>
    <hyperlink ref="Z125" r:id="rId12" xr:uid="{00000000-0004-0000-0100-00000B000000}"/>
    <hyperlink ref="Z126" r:id="rId13" xr:uid="{00000000-0004-0000-0100-00000C000000}"/>
    <hyperlink ref="Z130" r:id="rId14" xr:uid="{00000000-0004-0000-0100-00000D000000}"/>
    <hyperlink ref="Z131" r:id="rId15" xr:uid="{00000000-0004-0000-0100-00000E000000}"/>
    <hyperlink ref="Z132" r:id="rId16" xr:uid="{00000000-0004-0000-0100-00000F000000}"/>
    <hyperlink ref="Z285" r:id="rId17" xr:uid="{00000000-0004-0000-0100-000010000000}"/>
    <hyperlink ref="Z287" r:id="rId18" xr:uid="{00000000-0004-0000-0100-000011000000}"/>
    <hyperlink ref="Z288" r:id="rId19" xr:uid="{00000000-0004-0000-0100-000012000000}"/>
    <hyperlink ref="Z291" r:id="rId20" xr:uid="{00000000-0004-0000-0100-000013000000}"/>
    <hyperlink ref="Z347" r:id="rId21" xr:uid="{00000000-0004-0000-0100-000014000000}"/>
    <hyperlink ref="Z414" r:id="rId22" xr:uid="{00000000-0004-0000-0100-000015000000}"/>
    <hyperlink ref="Z415" r:id="rId23" xr:uid="{00000000-0004-0000-0100-000016000000}"/>
    <hyperlink ref="Z417" r:id="rId24" xr:uid="{00000000-0004-0000-0100-000017000000}"/>
    <hyperlink ref="Z419" r:id="rId25" xr:uid="{00000000-0004-0000-0100-000018000000}"/>
    <hyperlink ref="Z622" r:id="rId26" xr:uid="{00000000-0004-0000-0100-000019000000}"/>
    <hyperlink ref="Z289" r:id="rId27" display="https://ieeexplore-ieee-org/stamp/stamp.jsp?tp=&amp;arnumber=9216534" xr:uid="{00000000-0004-0000-0100-00001A000000}"/>
    <hyperlink ref="Z423" r:id="rId28" display="https://ieeexplore-ieee-org/stamp/stamp.jsp?tp=&amp;arnumber=9218400" xr:uid="{00000000-0004-0000-0100-00001B000000}"/>
    <hyperlink ref="Z424" r:id="rId29" display="https://ieeexplore-ieee-org/document/9218421" xr:uid="{00000000-0004-0000-0100-00001C000000}"/>
    <hyperlink ref="Z426" r:id="rId30" display="https://ieeexplore-ieee-org/document/9218375" xr:uid="{00000000-0004-0000-0100-00001D000000}"/>
    <hyperlink ref="Z428" r:id="rId31" xr:uid="{00000000-0004-0000-0100-00001E000000}"/>
    <hyperlink ref="Z429" r:id="rId32" xr:uid="{00000000-0004-0000-0100-00001F000000}"/>
    <hyperlink ref="Z497" r:id="rId33" xr:uid="{00000000-0004-0000-0100-000020000000}"/>
    <hyperlink ref="Z498" r:id="rId34" xr:uid="{00000000-0004-0000-0100-000021000000}"/>
    <hyperlink ref="Z499" r:id="rId35" xr:uid="{00000000-0004-0000-0100-000022000000}"/>
    <hyperlink ref="Z500" r:id="rId36" xr:uid="{00000000-0004-0000-0100-000023000000}"/>
    <hyperlink ref="Z503" r:id="rId37" xr:uid="{00000000-0004-0000-0100-000024000000}"/>
    <hyperlink ref="Z623" r:id="rId38" xr:uid="{00000000-0004-0000-0100-000025000000}"/>
    <hyperlink ref="Z625" r:id="rId39" xr:uid="{00000000-0004-0000-0100-000026000000}"/>
    <hyperlink ref="Z292" r:id="rId40" xr:uid="{00000000-0004-0000-0100-000027000000}"/>
    <hyperlink ref="Z290" r:id="rId41" xr:uid="{00000000-0004-0000-0100-000028000000}"/>
    <hyperlink ref="Z626" r:id="rId42" xr:uid="{00000000-0004-0000-0100-000029000000}"/>
    <hyperlink ref="Z138" r:id="rId43" xr:uid="{00000000-0004-0000-0100-00002A000000}"/>
    <hyperlink ref="Z139" r:id="rId44" xr:uid="{00000000-0004-0000-0100-00002B000000}"/>
    <hyperlink ref="Z627" r:id="rId45" xr:uid="{00000000-0004-0000-0100-00002C000000}"/>
    <hyperlink ref="Z140" r:id="rId46" xr:uid="{00000000-0004-0000-0100-00002D000000}"/>
    <hyperlink ref="Z141" r:id="rId47" xr:uid="{00000000-0004-0000-0100-00002E000000}"/>
    <hyperlink ref="Z628" r:id="rId48" xr:uid="{00000000-0004-0000-0100-00002F000000}"/>
    <hyperlink ref="Z629" r:id="rId49" xr:uid="{00000000-0004-0000-0100-000030000000}"/>
    <hyperlink ref="Z142" r:id="rId50" xr:uid="{00000000-0004-0000-0100-000031000000}"/>
    <hyperlink ref="Z143" r:id="rId51" xr:uid="{00000000-0004-0000-0100-000032000000}"/>
    <hyperlink ref="Z293" r:id="rId52" xr:uid="{00000000-0004-0000-0100-000033000000}"/>
    <hyperlink ref="Z294" r:id="rId53" xr:uid="{00000000-0004-0000-0100-000034000000}"/>
    <hyperlink ref="Z430" r:id="rId54" xr:uid="{00000000-0004-0000-0100-000035000000}"/>
    <hyperlink ref="Z431" r:id="rId55" xr:uid="{00000000-0004-0000-0100-000036000000}"/>
    <hyperlink ref="Z433" r:id="rId56" xr:uid="{00000000-0004-0000-0100-000037000000}"/>
    <hyperlink ref="Z632" r:id="rId57" xr:uid="{00000000-0004-0000-0100-000038000000}"/>
    <hyperlink ref="Z633" r:id="rId58" xr:uid="{00000000-0004-0000-0100-000039000000}"/>
    <hyperlink ref="Z145" r:id="rId59" xr:uid="{00000000-0004-0000-0100-00003A000000}"/>
    <hyperlink ref="Z146" r:id="rId60" xr:uid="{00000000-0004-0000-0100-00003B000000}"/>
    <hyperlink ref="Z504" r:id="rId61" xr:uid="{00000000-0004-0000-0100-00003C000000}"/>
    <hyperlink ref="Z505" r:id="rId62" xr:uid="{00000000-0004-0000-0100-00003D000000}"/>
    <hyperlink ref="Z506" r:id="rId63" xr:uid="{00000000-0004-0000-0100-00003E000000}"/>
    <hyperlink ref="Z508" r:id="rId64" xr:uid="{00000000-0004-0000-0100-00003F000000}"/>
    <hyperlink ref="Z634" r:id="rId65" xr:uid="{00000000-0004-0000-0100-000040000000}"/>
    <hyperlink ref="Z635" r:id="rId66" xr:uid="{00000000-0004-0000-0100-000041000000}"/>
    <hyperlink ref="Z147" r:id="rId67" xr:uid="{8B8B2BA9-BC29-4DE1-ACE0-7974B5D18AF1}"/>
    <hyperlink ref="Z148" r:id="rId68" xr:uid="{B59D7E6E-A26E-4862-A655-A56B5C9E2B2E}"/>
    <hyperlink ref="Z295" r:id="rId69" xr:uid="{65D537E6-81DB-4C7F-84EA-04077AF547ED}"/>
    <hyperlink ref="Z636" r:id="rId70" xr:uid="{71361B77-463B-4727-8B7B-C8C2B28E7BC5}"/>
    <hyperlink ref="Z154" r:id="rId71" xr:uid="{C027C702-A142-4690-8829-0EC8B41FEE8D}"/>
    <hyperlink ref="Z153" r:id="rId72" xr:uid="{1995695D-997E-4A82-BB71-076A38412B01}"/>
    <hyperlink ref="Z155" r:id="rId73" xr:uid="{93AD173D-F8B7-4120-A660-8F14AF7F3320}"/>
    <hyperlink ref="Z156" r:id="rId74" xr:uid="{1E1CA69D-3397-464A-851D-89C28BE0BAB0}"/>
    <hyperlink ref="Z157" r:id="rId75" xr:uid="{7D6637C6-57E0-4CF3-AF7E-C8E52803958B}"/>
    <hyperlink ref="Z348" r:id="rId76" xr:uid="{A0EB4307-E784-4400-B23F-A1D3C81AB3B8}"/>
    <hyperlink ref="Z349" r:id="rId77" xr:uid="{87DA5D0B-9561-46A8-AAC6-07A83992DA0B}"/>
    <hyperlink ref="Z434" r:id="rId78" xr:uid="{C312B8E9-E437-4A02-92A4-586B61628371}"/>
    <hyperlink ref="Z436" r:id="rId79" xr:uid="{D33E6515-2DA7-4AA9-AB2E-9C1E2DBF6D7D}"/>
    <hyperlink ref="Z437" r:id="rId80" xr:uid="{73A8CD81-3027-46FB-9B1B-F34315E88ACA}"/>
    <hyperlink ref="Z438" r:id="rId81" xr:uid="{A6924BC1-424D-4E84-8566-B3F83B8D1D55}"/>
    <hyperlink ref="Z440" r:id="rId82" xr:uid="{D889801F-D314-4F9F-AB94-52DED6632879}"/>
    <hyperlink ref="Z442" r:id="rId83" xr:uid="{AC380DC3-01E6-4F75-885C-733836CD92A6}"/>
    <hyperlink ref="Z510" r:id="rId84" xr:uid="{85B9A0B7-CC4B-49B3-8927-D014118C7D00}"/>
    <hyperlink ref="Z511" r:id="rId85" xr:uid="{8477FDB0-7F99-47DE-A4A1-B2DD6EA38883}"/>
    <hyperlink ref="Z513" r:id="rId86" xr:uid="{A92FFF12-99B0-4D3C-84E2-E84005D8F689}"/>
    <hyperlink ref="Z637" r:id="rId87" xr:uid="{236DDE82-7341-4395-AB73-56388054F3BD}"/>
    <hyperlink ref="Z638" r:id="rId88" xr:uid="{70059B3C-02DD-4764-ADE6-9DD207458502}"/>
    <hyperlink ref="Z639" r:id="rId89" xr:uid="{0078B889-FD52-4554-8363-F3E7CBE4CD23}"/>
    <hyperlink ref="Z640" r:id="rId90" xr:uid="{F73BD942-18FD-4A3D-9297-31C2131103D6}"/>
    <hyperlink ref="Z641" r:id="rId91" xr:uid="{96FCF799-59AC-4D7E-966A-E87A11BFE2C5}"/>
    <hyperlink ref="Z643" r:id="rId92" xr:uid="{9E538CE0-BBB3-4C7A-8333-609B00F16E30}"/>
    <hyperlink ref="Z642" r:id="rId93" xr:uid="{0AE2B9FA-8752-426F-9C85-D12FB9B6016E}"/>
    <hyperlink ref="Z644" r:id="rId94" xr:uid="{9DD32CEE-F7D7-4148-BCBE-AAD6DFA15DFC}"/>
    <hyperlink ref="Z645" r:id="rId95" xr:uid="{89ED9628-E3A1-41E0-8711-72857CCE5EE2}"/>
    <hyperlink ref="Z647" r:id="rId96" xr:uid="{0DF2ECDE-2DE2-4F1B-B7A7-CC7B68EFCF0D}"/>
    <hyperlink ref="Z350" r:id="rId97" xr:uid="{A7E8005C-8D05-49A8-9560-7E255A12F7F5}"/>
    <hyperlink ref="Z649" r:id="rId98" xr:uid="{C4B8D966-E323-4C69-95F0-862EFE6352A0}"/>
    <hyperlink ref="Z650" r:id="rId99" xr:uid="{38D3E85C-AA1F-4741-884C-627D97260822}"/>
    <hyperlink ref="Z651" r:id="rId100" xr:uid="{B8F4B93F-5364-4B86-8690-A559CAC065B9}"/>
    <hyperlink ref="Z654" r:id="rId101" xr:uid="{6F9F3494-7A32-4374-A44C-1AAFF5763A9D}"/>
    <hyperlink ref="Z656" r:id="rId102" xr:uid="{8484F451-2848-4A6A-81E8-3C16DFA5AC00}"/>
    <hyperlink ref="Z655" r:id="rId103" xr:uid="{5AA771D4-E640-4155-89F4-C50D0BB30CA5}"/>
    <hyperlink ref="Z657" r:id="rId104" xr:uid="{1B2D70B9-589A-4A21-820B-878B1D2F9BED}"/>
    <hyperlink ref="Z658" r:id="rId105" xr:uid="{A5BCFAA6-8774-4A44-BCB1-DCCE08B937C9}"/>
    <hyperlink ref="Z660" r:id="rId106" xr:uid="{95EA0E8D-7210-4382-9DB0-8555D1CE4FE9}"/>
    <hyperlink ref="Z158" r:id="rId107" xr:uid="{82B79F6A-A957-4A12-BD0E-6DC7633E40CE}"/>
    <hyperlink ref="Z159" r:id="rId108" xr:uid="{07232618-32E4-4537-980F-45143E645DC0}"/>
    <hyperlink ref="Z160" r:id="rId109" xr:uid="{4D1E6A19-8E42-4F83-8DC6-40AC98216D13}"/>
    <hyperlink ref="Z161" r:id="rId110" xr:uid="{5B62A558-83B7-4168-92C6-7CFC35401963}"/>
    <hyperlink ref="Z162" r:id="rId111" xr:uid="{95971FD4-9E85-44D6-8691-6D4E1B2381E2}"/>
    <hyperlink ref="Z163" r:id="rId112" xr:uid="{038227ED-F3DB-44C7-A375-C71CD2A3211C}"/>
    <hyperlink ref="Z460" r:id="rId113" xr:uid="{19EBE135-F83D-417E-9A2A-DC80C84D9F24}"/>
  </hyperlinks>
  <pageMargins left="0.7" right="0.7" top="0.75" bottom="0.75" header="0.3" footer="0.3"/>
  <pageSetup orientation="portrait" r:id="rId114"/>
  <legacyDrawing r:id="rId11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132"/>
  <sheetViews>
    <sheetView zoomScale="115" zoomScaleNormal="115" workbookViewId="0">
      <pane ySplit="1" topLeftCell="A117" activePane="bottomLeft" state="frozen"/>
      <selection activeCell="F1" sqref="F1"/>
      <selection pane="bottomLeft" activeCell="H132" sqref="H132"/>
    </sheetView>
  </sheetViews>
  <sheetFormatPr defaultRowHeight="15"/>
  <cols>
    <col min="1" max="1" width="13.28515625" bestFit="1" customWidth="1"/>
    <col min="2" max="2" width="10.42578125" customWidth="1"/>
    <col min="3" max="3" width="11" customWidth="1"/>
    <col min="5" max="7" width="13.85546875" style="1" customWidth="1"/>
    <col min="8" max="8" width="9.28515625" style="1" customWidth="1"/>
    <col min="9" max="9" width="14.85546875" style="1" customWidth="1"/>
    <col min="10" max="10" width="13.28515625" style="1" customWidth="1"/>
    <col min="11" max="12" width="13" style="1" customWidth="1"/>
    <col min="13" max="13" width="8" style="1" customWidth="1"/>
    <col min="14" max="14" width="9.5703125" style="1" customWidth="1"/>
    <col min="15" max="15" width="16.28515625" style="1" customWidth="1"/>
    <col min="16" max="16" width="14" style="1" customWidth="1"/>
    <col min="17" max="17" width="10.28515625" customWidth="1"/>
  </cols>
  <sheetData>
    <row r="1" spans="1:18" ht="15.75">
      <c r="A1" s="41" t="s">
        <v>0</v>
      </c>
      <c r="B1" s="42" t="s">
        <v>1</v>
      </c>
      <c r="C1" s="42" t="s">
        <v>2</v>
      </c>
      <c r="D1" s="42" t="s">
        <v>3</v>
      </c>
      <c r="E1" s="57" t="s">
        <v>14</v>
      </c>
      <c r="F1" s="57" t="s">
        <v>6</v>
      </c>
      <c r="G1" s="57" t="s">
        <v>1867</v>
      </c>
      <c r="H1" s="57" t="s">
        <v>10</v>
      </c>
      <c r="I1" s="57" t="s">
        <v>9</v>
      </c>
      <c r="J1" s="57" t="s">
        <v>7</v>
      </c>
      <c r="K1" s="57" t="s">
        <v>21</v>
      </c>
      <c r="L1" s="57" t="s">
        <v>8</v>
      </c>
      <c r="M1" s="57" t="s">
        <v>1109</v>
      </c>
      <c r="N1" s="57" t="s">
        <v>335</v>
      </c>
      <c r="O1" s="57" t="s">
        <v>149</v>
      </c>
      <c r="P1" s="57" t="s">
        <v>148</v>
      </c>
      <c r="Q1" s="42" t="s">
        <v>4</v>
      </c>
    </row>
    <row r="2" spans="1:18" ht="15.75">
      <c r="A2" s="41" t="s">
        <v>416</v>
      </c>
      <c r="B2" s="42"/>
      <c r="C2" s="42"/>
      <c r="D2" s="42"/>
      <c r="E2" s="57"/>
      <c r="F2" s="57"/>
      <c r="G2" s="57"/>
      <c r="H2" s="57"/>
      <c r="I2" s="57"/>
      <c r="J2" s="57"/>
      <c r="K2" s="57"/>
      <c r="L2" s="57"/>
      <c r="M2" s="57"/>
      <c r="N2" s="57"/>
      <c r="O2" s="57"/>
      <c r="P2" s="57"/>
      <c r="Q2" s="42"/>
    </row>
    <row r="3" spans="1:18">
      <c r="A3" t="s">
        <v>1803</v>
      </c>
      <c r="B3" s="8" t="s">
        <v>52</v>
      </c>
      <c r="C3" s="3" t="s">
        <v>53</v>
      </c>
      <c r="D3" s="7" t="s">
        <v>54</v>
      </c>
      <c r="E3" s="6">
        <v>0.1</v>
      </c>
      <c r="F3" s="1">
        <v>10.7</v>
      </c>
      <c r="G3" s="1">
        <v>5.65</v>
      </c>
      <c r="H3" s="6">
        <v>-5</v>
      </c>
      <c r="I3" s="1">
        <v>1.2</v>
      </c>
      <c r="J3" s="6">
        <v>-20</v>
      </c>
      <c r="K3" s="6">
        <v>-4</v>
      </c>
      <c r="L3" s="1">
        <v>16</v>
      </c>
      <c r="M3" s="1">
        <v>0.5</v>
      </c>
      <c r="N3" s="1">
        <v>5</v>
      </c>
      <c r="P3" s="1">
        <v>2.2999999999999998</v>
      </c>
      <c r="Q3" t="s">
        <v>55</v>
      </c>
      <c r="R3" s="3" t="s">
        <v>243</v>
      </c>
    </row>
    <row r="4" spans="1:18">
      <c r="B4" s="18">
        <v>7</v>
      </c>
      <c r="E4" s="1">
        <v>0.1</v>
      </c>
      <c r="F4" s="1">
        <v>10.7</v>
      </c>
      <c r="G4" s="1">
        <v>5.65</v>
      </c>
      <c r="H4" s="6">
        <v>-5</v>
      </c>
      <c r="I4" s="1">
        <v>0.9</v>
      </c>
      <c r="J4" s="6">
        <v>-41</v>
      </c>
      <c r="K4" s="6">
        <v>-24</v>
      </c>
      <c r="L4" s="1">
        <v>30</v>
      </c>
      <c r="M4" s="1">
        <v>0.5</v>
      </c>
      <c r="N4" s="1">
        <v>7.5</v>
      </c>
      <c r="P4" s="1">
        <v>5.75</v>
      </c>
    </row>
    <row r="5" spans="1:18">
      <c r="A5" t="s">
        <v>1839</v>
      </c>
      <c r="B5" s="8" t="s">
        <v>336</v>
      </c>
      <c r="C5" s="3" t="s">
        <v>337</v>
      </c>
      <c r="D5" s="7" t="s">
        <v>338</v>
      </c>
      <c r="E5" s="6">
        <v>0.1</v>
      </c>
      <c r="F5" s="1">
        <v>28</v>
      </c>
      <c r="G5" s="1">
        <v>25</v>
      </c>
      <c r="H5" s="1">
        <v>-2</v>
      </c>
      <c r="I5" s="1">
        <v>2.1</v>
      </c>
      <c r="J5" s="1">
        <v>-13.4</v>
      </c>
      <c r="K5" s="1">
        <v>-6</v>
      </c>
      <c r="L5" s="1">
        <v>23</v>
      </c>
      <c r="M5" s="1">
        <v>2</v>
      </c>
      <c r="N5" s="1">
        <v>80</v>
      </c>
      <c r="P5" s="1">
        <v>1.7</v>
      </c>
      <c r="Q5" t="s">
        <v>339</v>
      </c>
      <c r="R5" s="3" t="s">
        <v>5</v>
      </c>
    </row>
    <row r="6" spans="1:18">
      <c r="A6" t="s">
        <v>1711</v>
      </c>
      <c r="B6" s="8" t="s">
        <v>357</v>
      </c>
      <c r="C6" s="3" t="s">
        <v>358</v>
      </c>
      <c r="D6" s="7" t="s">
        <v>359</v>
      </c>
      <c r="E6" s="6">
        <v>0.15</v>
      </c>
      <c r="F6" s="1">
        <v>1.8</v>
      </c>
      <c r="G6" s="1">
        <v>4.7</v>
      </c>
      <c r="H6" s="1">
        <v>-10</v>
      </c>
      <c r="I6" s="1">
        <v>1.4</v>
      </c>
      <c r="J6" s="1">
        <v>-12</v>
      </c>
      <c r="K6" s="1">
        <v>-1</v>
      </c>
      <c r="L6" s="1">
        <v>17</v>
      </c>
      <c r="M6" s="1">
        <v>3</v>
      </c>
      <c r="N6" s="1">
        <v>33</v>
      </c>
      <c r="P6" s="1">
        <v>1</v>
      </c>
      <c r="Q6" t="s">
        <v>360</v>
      </c>
      <c r="R6" s="3" t="s">
        <v>243</v>
      </c>
    </row>
    <row r="7" spans="1:18">
      <c r="E7" s="6">
        <v>0.15</v>
      </c>
      <c r="G7" s="1">
        <v>2.4</v>
      </c>
      <c r="H7" s="1">
        <v>-10</v>
      </c>
      <c r="I7" s="1">
        <v>1.1000000000000001</v>
      </c>
      <c r="J7" s="1">
        <v>-20</v>
      </c>
      <c r="K7" s="1">
        <v>-8.5</v>
      </c>
      <c r="L7" s="1">
        <v>20</v>
      </c>
      <c r="M7" s="1">
        <v>3</v>
      </c>
      <c r="N7" s="1">
        <v>37.799999999999997</v>
      </c>
      <c r="P7" s="1">
        <v>1.5</v>
      </c>
      <c r="R7" t="s">
        <v>361</v>
      </c>
    </row>
    <row r="8" spans="1:18">
      <c r="E8" s="6">
        <v>0.15</v>
      </c>
      <c r="F8" s="1">
        <v>0.4</v>
      </c>
      <c r="G8" s="1">
        <v>4.7</v>
      </c>
      <c r="H8" s="1">
        <v>-10</v>
      </c>
      <c r="I8" s="1">
        <v>1.3</v>
      </c>
      <c r="J8" s="1">
        <v>-18</v>
      </c>
      <c r="K8" s="1">
        <v>-4</v>
      </c>
      <c r="L8" s="1">
        <v>15</v>
      </c>
      <c r="M8" s="1">
        <v>3</v>
      </c>
      <c r="N8" s="1">
        <v>37.799999999999997</v>
      </c>
    </row>
    <row r="9" spans="1:18">
      <c r="A9" t="s">
        <v>1857</v>
      </c>
      <c r="B9" s="8" t="s">
        <v>382</v>
      </c>
      <c r="C9" s="3" t="s">
        <v>383</v>
      </c>
      <c r="D9" s="7" t="s">
        <v>384</v>
      </c>
      <c r="E9" s="6">
        <v>0.1</v>
      </c>
      <c r="F9" s="1">
        <v>10</v>
      </c>
      <c r="G9" s="1">
        <v>33</v>
      </c>
      <c r="H9" s="1">
        <v>-6</v>
      </c>
      <c r="I9" s="1">
        <v>2</v>
      </c>
      <c r="L9" s="1">
        <v>21</v>
      </c>
      <c r="M9" s="1">
        <v>2</v>
      </c>
      <c r="N9" s="1">
        <v>112</v>
      </c>
      <c r="O9" s="1">
        <v>3.38</v>
      </c>
      <c r="Q9" t="s">
        <v>385</v>
      </c>
      <c r="R9" s="3" t="s">
        <v>243</v>
      </c>
    </row>
    <row r="10" spans="1:18">
      <c r="E10" s="6">
        <v>0.1</v>
      </c>
      <c r="F10" s="1">
        <v>8</v>
      </c>
      <c r="G10" s="1">
        <v>34</v>
      </c>
      <c r="H10" s="1">
        <v>-10</v>
      </c>
      <c r="I10" s="1">
        <v>2.1</v>
      </c>
      <c r="L10" s="1">
        <v>18</v>
      </c>
      <c r="M10" s="1">
        <v>2</v>
      </c>
      <c r="N10" s="1">
        <v>100</v>
      </c>
      <c r="O10" s="1">
        <v>3.38</v>
      </c>
    </row>
    <row r="11" spans="1:18">
      <c r="A11" t="s">
        <v>1858</v>
      </c>
      <c r="B11" s="8" t="s">
        <v>402</v>
      </c>
      <c r="C11" t="s">
        <v>404</v>
      </c>
      <c r="D11" s="7" t="s">
        <v>403</v>
      </c>
      <c r="E11" s="76">
        <v>0.15</v>
      </c>
      <c r="F11" s="21">
        <v>6.5</v>
      </c>
      <c r="G11" s="21">
        <v>7.25</v>
      </c>
      <c r="H11" s="1">
        <v>-10</v>
      </c>
      <c r="I11" s="1">
        <v>1.8</v>
      </c>
      <c r="J11" s="1">
        <v>-12</v>
      </c>
      <c r="K11" s="1">
        <v>-3</v>
      </c>
      <c r="L11" s="1">
        <v>11</v>
      </c>
      <c r="M11" s="1">
        <v>3</v>
      </c>
      <c r="N11" s="1">
        <v>45</v>
      </c>
      <c r="P11" s="1">
        <v>1.5</v>
      </c>
      <c r="Q11" t="s">
        <v>405</v>
      </c>
      <c r="R11" s="3" t="s">
        <v>243</v>
      </c>
    </row>
    <row r="12" spans="1:18">
      <c r="E12" s="76">
        <v>0.15</v>
      </c>
      <c r="F12" s="21">
        <v>6.5</v>
      </c>
      <c r="G12" s="21">
        <v>7.25</v>
      </c>
      <c r="H12" s="1">
        <v>-10</v>
      </c>
      <c r="I12" s="1">
        <v>1.4</v>
      </c>
      <c r="J12" s="1">
        <v>-12</v>
      </c>
      <c r="K12" s="1">
        <v>-4</v>
      </c>
      <c r="L12" s="1">
        <v>12</v>
      </c>
      <c r="M12" s="1">
        <v>3</v>
      </c>
      <c r="N12" s="1">
        <v>45</v>
      </c>
      <c r="P12" s="1">
        <v>1.5</v>
      </c>
    </row>
    <row r="13" spans="1:18">
      <c r="A13" s="50" t="s">
        <v>2834</v>
      </c>
      <c r="B13" t="s">
        <v>2848</v>
      </c>
      <c r="C13" t="s">
        <v>2850</v>
      </c>
      <c r="D13" t="s">
        <v>2851</v>
      </c>
      <c r="E13" s="76">
        <v>0.15</v>
      </c>
      <c r="F13" s="21">
        <v>5</v>
      </c>
      <c r="G13" s="21">
        <v>37.5</v>
      </c>
      <c r="H13" s="1">
        <v>-10</v>
      </c>
      <c r="I13" s="1">
        <v>2.75</v>
      </c>
      <c r="J13" s="1">
        <v>-20</v>
      </c>
      <c r="L13" s="1">
        <v>21</v>
      </c>
      <c r="M13" s="1">
        <v>0.6</v>
      </c>
      <c r="N13" s="1">
        <v>48</v>
      </c>
      <c r="P13" s="1">
        <v>1.5</v>
      </c>
      <c r="Q13" s="4" t="s">
        <v>2849</v>
      </c>
    </row>
    <row r="14" spans="1:18">
      <c r="A14" s="50" t="s">
        <v>2916</v>
      </c>
      <c r="B14" t="s">
        <v>2885</v>
      </c>
      <c r="C14" t="s">
        <v>2886</v>
      </c>
      <c r="D14" t="s">
        <v>2887</v>
      </c>
      <c r="E14" s="1" t="s">
        <v>2889</v>
      </c>
      <c r="F14" s="21">
        <v>3</v>
      </c>
      <c r="G14" s="21">
        <v>27</v>
      </c>
      <c r="H14" s="1">
        <v>-10</v>
      </c>
      <c r="I14" s="1">
        <v>1.9</v>
      </c>
      <c r="L14" s="1">
        <v>26</v>
      </c>
      <c r="P14" s="1">
        <v>12</v>
      </c>
      <c r="Q14" s="4" t="s">
        <v>2888</v>
      </c>
    </row>
    <row r="15" spans="1:18">
      <c r="A15" s="50" t="s">
        <v>3306</v>
      </c>
      <c r="B15" t="s">
        <v>3307</v>
      </c>
      <c r="C15" t="s">
        <v>3310</v>
      </c>
      <c r="D15" t="s">
        <v>3308</v>
      </c>
      <c r="E15" s="1">
        <v>0.1</v>
      </c>
      <c r="F15" s="21">
        <v>2.5</v>
      </c>
      <c r="G15" s="21">
        <v>18.95</v>
      </c>
      <c r="I15" s="1">
        <v>0.95</v>
      </c>
      <c r="L15" s="1">
        <v>6.7</v>
      </c>
      <c r="M15" s="1">
        <v>1</v>
      </c>
      <c r="N15" s="1">
        <v>6.5</v>
      </c>
      <c r="P15" s="1">
        <v>1.0925</v>
      </c>
      <c r="Q15" s="4" t="s">
        <v>3309</v>
      </c>
    </row>
    <row r="16" spans="1:18" ht="18">
      <c r="A16" s="50" t="s">
        <v>3143</v>
      </c>
      <c r="B16" t="s">
        <v>3772</v>
      </c>
      <c r="C16" t="s">
        <v>3771</v>
      </c>
      <c r="D16" t="s">
        <v>3770</v>
      </c>
      <c r="E16" s="1">
        <v>0.15</v>
      </c>
      <c r="F16" s="21">
        <v>2</v>
      </c>
      <c r="G16" s="21">
        <v>9.5</v>
      </c>
      <c r="H16" s="1">
        <v>-10</v>
      </c>
      <c r="I16" s="1">
        <v>1.8</v>
      </c>
      <c r="J16" s="1">
        <v>-11</v>
      </c>
      <c r="K16" s="1">
        <v>-11</v>
      </c>
      <c r="L16" s="1">
        <v>25</v>
      </c>
      <c r="M16" s="1">
        <v>3.5</v>
      </c>
      <c r="N16" s="1">
        <v>290</v>
      </c>
      <c r="Q16" s="4" t="s">
        <v>3769</v>
      </c>
    </row>
    <row r="17" spans="1:18">
      <c r="A17" t="s">
        <v>3143</v>
      </c>
      <c r="B17" s="8" t="s">
        <v>3795</v>
      </c>
      <c r="C17" s="39" t="s">
        <v>3796</v>
      </c>
      <c r="D17" t="s">
        <v>3797</v>
      </c>
      <c r="E17" s="1">
        <v>0.25</v>
      </c>
      <c r="F17" s="21">
        <v>2.5</v>
      </c>
      <c r="G17" s="21">
        <v>6.15</v>
      </c>
      <c r="H17" s="1">
        <v>-10</v>
      </c>
      <c r="I17" s="1">
        <v>1.65</v>
      </c>
      <c r="J17" s="1">
        <v>7</v>
      </c>
      <c r="K17" s="1">
        <v>12.1</v>
      </c>
      <c r="L17" s="1">
        <v>14.9</v>
      </c>
      <c r="M17" s="1">
        <v>5</v>
      </c>
      <c r="N17" s="1">
        <v>97</v>
      </c>
      <c r="P17" s="1">
        <v>1.53</v>
      </c>
      <c r="Q17" s="4" t="s">
        <v>3798</v>
      </c>
    </row>
    <row r="18" spans="1:18">
      <c r="A18" s="50"/>
      <c r="F18" s="21"/>
      <c r="G18" s="21"/>
      <c r="Q18" s="4"/>
    </row>
    <row r="19" spans="1:18" ht="15.75">
      <c r="A19" s="47" t="s">
        <v>415</v>
      </c>
      <c r="B19" s="46"/>
      <c r="C19" s="46"/>
      <c r="D19" s="46"/>
      <c r="E19" s="97"/>
      <c r="F19" s="93"/>
      <c r="G19" s="93"/>
      <c r="H19" s="93"/>
      <c r="I19" s="93"/>
      <c r="J19" s="93"/>
      <c r="K19" s="93"/>
      <c r="L19" s="93"/>
      <c r="M19" s="93"/>
      <c r="N19" s="93"/>
      <c r="O19" s="93"/>
      <c r="P19" s="93"/>
      <c r="Q19" s="46"/>
    </row>
    <row r="20" spans="1:18">
      <c r="A20" t="s">
        <v>1422</v>
      </c>
      <c r="B20" t="s">
        <v>479</v>
      </c>
      <c r="C20" t="s">
        <v>480</v>
      </c>
      <c r="D20" s="7" t="s">
        <v>481</v>
      </c>
      <c r="E20" s="1">
        <v>0.1</v>
      </c>
      <c r="F20" s="1">
        <v>20</v>
      </c>
      <c r="G20" s="1">
        <v>210</v>
      </c>
      <c r="H20" s="1">
        <v>-6.5</v>
      </c>
      <c r="L20" s="1">
        <v>7</v>
      </c>
      <c r="M20" s="1">
        <v>2</v>
      </c>
      <c r="N20" s="1">
        <v>24</v>
      </c>
      <c r="P20" s="1">
        <v>1</v>
      </c>
      <c r="Q20" t="s">
        <v>482</v>
      </c>
      <c r="R20" s="3" t="s">
        <v>445</v>
      </c>
    </row>
    <row r="21" spans="1:18">
      <c r="D21" s="7"/>
      <c r="E21" s="6">
        <v>0.1</v>
      </c>
      <c r="F21" s="1">
        <v>7</v>
      </c>
      <c r="G21" s="1">
        <v>215.5</v>
      </c>
      <c r="H21" s="1">
        <v>-12</v>
      </c>
      <c r="L21" s="1">
        <v>25</v>
      </c>
      <c r="M21" s="1">
        <v>2</v>
      </c>
      <c r="N21" s="1">
        <v>102</v>
      </c>
      <c r="P21" s="1">
        <v>2.5</v>
      </c>
      <c r="Q21" s="4"/>
      <c r="R21" s="3"/>
    </row>
    <row r="22" spans="1:18">
      <c r="E22" s="1">
        <v>0.05</v>
      </c>
      <c r="F22" s="1">
        <v>10</v>
      </c>
      <c r="G22" s="1">
        <v>225</v>
      </c>
      <c r="H22" s="1">
        <v>-6</v>
      </c>
      <c r="L22" s="1">
        <v>10</v>
      </c>
      <c r="M22" s="1">
        <v>2</v>
      </c>
      <c r="N22" s="1">
        <v>40</v>
      </c>
      <c r="P22" s="1">
        <v>1</v>
      </c>
    </row>
    <row r="23" spans="1:18">
      <c r="A23" s="2" t="s">
        <v>2839</v>
      </c>
      <c r="B23" t="s">
        <v>2840</v>
      </c>
      <c r="C23" t="s">
        <v>2842</v>
      </c>
      <c r="D23" t="s">
        <v>2841</v>
      </c>
      <c r="E23" s="1">
        <v>3.5000000000000003E-2</v>
      </c>
      <c r="F23" s="1">
        <v>334</v>
      </c>
      <c r="G23" s="1">
        <v>168</v>
      </c>
      <c r="H23" s="1">
        <v>-10</v>
      </c>
      <c r="I23" s="1">
        <v>3.9</v>
      </c>
      <c r="J23" s="1">
        <v>-2.5</v>
      </c>
      <c r="K23" s="1">
        <v>9.3000000000000007</v>
      </c>
      <c r="L23" s="1">
        <v>11</v>
      </c>
      <c r="M23" s="1">
        <v>1.6</v>
      </c>
      <c r="N23" s="1">
        <v>215</v>
      </c>
      <c r="O23" s="1">
        <v>0.14000000000000001</v>
      </c>
      <c r="P23" s="1">
        <v>0.625</v>
      </c>
      <c r="Q23" s="4" t="s">
        <v>2843</v>
      </c>
    </row>
    <row r="24" spans="1:18">
      <c r="A24" s="2"/>
      <c r="E24" s="1">
        <v>3.5000000000000003E-2</v>
      </c>
      <c r="F24" s="1">
        <v>334</v>
      </c>
      <c r="G24" s="1">
        <v>168</v>
      </c>
      <c r="H24" s="1">
        <v>-10</v>
      </c>
      <c r="I24" s="1">
        <v>3.5</v>
      </c>
      <c r="L24" s="1">
        <v>9.1999999999999993</v>
      </c>
      <c r="M24" s="1">
        <v>1.2</v>
      </c>
      <c r="N24" s="1">
        <v>90</v>
      </c>
      <c r="O24" s="1">
        <v>0.14000000000000001</v>
      </c>
      <c r="P24" s="1">
        <v>0.625</v>
      </c>
    </row>
    <row r="25" spans="1:18">
      <c r="A25" s="2"/>
      <c r="E25" s="1">
        <v>3.5000000000000003E-2</v>
      </c>
      <c r="F25" s="1">
        <v>329</v>
      </c>
      <c r="G25" s="1">
        <v>165.5</v>
      </c>
      <c r="H25" s="1">
        <v>-10</v>
      </c>
      <c r="I25" s="1">
        <v>2.8</v>
      </c>
      <c r="J25" s="1">
        <v>-4.0999999999999996</v>
      </c>
      <c r="K25" s="1">
        <v>7.3000000000000007</v>
      </c>
      <c r="L25" s="1">
        <v>13</v>
      </c>
      <c r="M25" s="1">
        <v>1.6</v>
      </c>
      <c r="N25" s="1">
        <v>346</v>
      </c>
      <c r="O25" s="1">
        <v>0.18200000000000002</v>
      </c>
      <c r="P25" s="1">
        <v>0.625</v>
      </c>
    </row>
    <row r="26" spans="1:18">
      <c r="A26" s="2"/>
      <c r="E26" s="1">
        <v>3.5000000000000003E-2</v>
      </c>
      <c r="F26" s="1">
        <v>329</v>
      </c>
      <c r="G26" s="1">
        <v>165.5</v>
      </c>
      <c r="H26" s="1">
        <v>-10</v>
      </c>
      <c r="I26" s="1">
        <v>2.4</v>
      </c>
      <c r="L26" s="1">
        <v>11.2</v>
      </c>
      <c r="M26" s="1">
        <v>1.2</v>
      </c>
      <c r="N26" s="1">
        <v>144</v>
      </c>
      <c r="O26" s="1">
        <v>0.18200000000000002</v>
      </c>
      <c r="P26" s="1">
        <v>0.625</v>
      </c>
    </row>
    <row r="27" spans="1:18">
      <c r="A27" s="2"/>
      <c r="E27" s="1">
        <v>3.5000000000000003E-2</v>
      </c>
      <c r="F27" s="1">
        <v>314</v>
      </c>
      <c r="G27" s="1">
        <v>158</v>
      </c>
      <c r="H27" s="1">
        <v>-10</v>
      </c>
      <c r="I27" s="1">
        <v>2.2999999999999998</v>
      </c>
      <c r="J27" s="1">
        <v>-4.4000000000000004</v>
      </c>
      <c r="K27" s="1">
        <v>4.7000000000000011</v>
      </c>
      <c r="L27" s="1">
        <v>14.1</v>
      </c>
      <c r="M27" s="1">
        <v>1.6</v>
      </c>
      <c r="N27" s="1">
        <v>512</v>
      </c>
      <c r="O27" s="1">
        <v>0.22400000000000003</v>
      </c>
      <c r="P27" s="1">
        <v>0.75</v>
      </c>
    </row>
    <row r="28" spans="1:18">
      <c r="A28" s="2"/>
      <c r="E28" s="1">
        <v>3.5000000000000003E-2</v>
      </c>
      <c r="F28" s="1">
        <v>314</v>
      </c>
      <c r="G28" s="1">
        <v>158</v>
      </c>
      <c r="H28" s="1">
        <v>-10</v>
      </c>
      <c r="I28" s="1">
        <v>2</v>
      </c>
      <c r="L28" s="1">
        <v>13.1</v>
      </c>
      <c r="M28" s="1">
        <v>1.2</v>
      </c>
      <c r="N28" s="1">
        <v>210</v>
      </c>
      <c r="O28" s="1">
        <v>0.22400000000000003</v>
      </c>
      <c r="P28" s="1">
        <v>0.75</v>
      </c>
    </row>
    <row r="29" spans="1:18">
      <c r="A29" s="2"/>
    </row>
    <row r="30" spans="1:18">
      <c r="A30" s="53" t="s">
        <v>735</v>
      </c>
      <c r="B30" s="53"/>
      <c r="C30" s="53"/>
      <c r="D30" s="53"/>
      <c r="E30" s="94"/>
      <c r="F30" s="94"/>
      <c r="G30" s="94"/>
      <c r="H30" s="94"/>
      <c r="I30" s="94"/>
      <c r="J30" s="94"/>
      <c r="K30" s="94"/>
      <c r="L30" s="94"/>
      <c r="M30" s="94"/>
      <c r="N30" s="94"/>
      <c r="O30" s="94"/>
      <c r="P30" s="94"/>
      <c r="Q30" s="53"/>
    </row>
    <row r="31" spans="1:18">
      <c r="A31" s="54" t="s">
        <v>845</v>
      </c>
      <c r="B31" s="54"/>
      <c r="C31" s="54"/>
      <c r="D31" s="54"/>
      <c r="E31" s="95"/>
      <c r="F31" s="95"/>
      <c r="G31" s="95"/>
      <c r="H31" s="95"/>
      <c r="I31" s="95"/>
      <c r="J31" s="95"/>
      <c r="K31" s="95"/>
      <c r="L31" s="95"/>
      <c r="M31" s="95"/>
      <c r="N31" s="95"/>
      <c r="O31" s="95"/>
      <c r="P31" s="95"/>
      <c r="Q31" s="54"/>
    </row>
    <row r="32" spans="1:18">
      <c r="A32" s="86" t="s">
        <v>3437</v>
      </c>
      <c r="B32" s="85" t="s">
        <v>2732</v>
      </c>
      <c r="C32" s="85" t="s">
        <v>2733</v>
      </c>
      <c r="D32" t="s">
        <v>2734</v>
      </c>
      <c r="E32" s="87">
        <v>0.25</v>
      </c>
      <c r="F32" s="87">
        <v>3</v>
      </c>
      <c r="G32" s="87">
        <v>3.5</v>
      </c>
      <c r="H32" s="87">
        <v>-20</v>
      </c>
      <c r="I32" s="87">
        <v>1.35</v>
      </c>
      <c r="J32" s="87">
        <v>-51</v>
      </c>
      <c r="K32" s="87">
        <v>-2</v>
      </c>
      <c r="L32" s="87">
        <v>33.5</v>
      </c>
      <c r="M32" s="87">
        <v>5</v>
      </c>
      <c r="N32" s="87">
        <v>95</v>
      </c>
      <c r="O32" s="87"/>
      <c r="P32" s="87"/>
      <c r="Q32" s="88" t="s">
        <v>2819</v>
      </c>
    </row>
    <row r="33" spans="1:18">
      <c r="A33" s="56" t="s">
        <v>1031</v>
      </c>
      <c r="B33" s="55"/>
      <c r="C33" s="55"/>
      <c r="D33" s="55"/>
      <c r="E33" s="96"/>
      <c r="F33" s="96"/>
      <c r="G33" s="96"/>
      <c r="H33" s="96"/>
      <c r="I33" s="96"/>
      <c r="J33" s="96"/>
      <c r="K33" s="96"/>
      <c r="L33" s="96"/>
      <c r="M33" s="96"/>
      <c r="N33" s="96"/>
      <c r="O33" s="96"/>
      <c r="P33" s="96"/>
      <c r="Q33" s="55"/>
    </row>
    <row r="34" spans="1:18">
      <c r="A34" t="s">
        <v>1032</v>
      </c>
      <c r="B34" s="8" t="s">
        <v>1034</v>
      </c>
      <c r="C34" t="s">
        <v>2438</v>
      </c>
      <c r="D34" s="7" t="s">
        <v>1033</v>
      </c>
      <c r="E34" s="1">
        <v>0.15</v>
      </c>
      <c r="F34" s="1">
        <v>5</v>
      </c>
      <c r="G34" s="1">
        <v>27.5</v>
      </c>
      <c r="H34" s="1">
        <v>-10</v>
      </c>
      <c r="I34" s="1">
        <v>1.6</v>
      </c>
      <c r="L34" s="1">
        <v>16</v>
      </c>
      <c r="M34" s="1">
        <v>2.5</v>
      </c>
      <c r="N34" s="1">
        <v>18.75</v>
      </c>
      <c r="P34" s="1">
        <v>0.9</v>
      </c>
      <c r="Q34" t="s">
        <v>2657</v>
      </c>
      <c r="R34" s="3" t="s">
        <v>5</v>
      </c>
    </row>
    <row r="35" spans="1:18">
      <c r="A35" t="s">
        <v>1041</v>
      </c>
      <c r="B35" s="8" t="s">
        <v>1042</v>
      </c>
      <c r="C35" t="s">
        <v>1044</v>
      </c>
      <c r="D35" s="7" t="s">
        <v>1043</v>
      </c>
      <c r="E35" s="1">
        <v>0.25</v>
      </c>
      <c r="F35" s="1">
        <v>4</v>
      </c>
      <c r="G35" s="1">
        <v>16</v>
      </c>
      <c r="H35" s="1">
        <v>-10</v>
      </c>
      <c r="I35" s="1">
        <v>2.2000000000000002</v>
      </c>
      <c r="L35" s="1">
        <v>23</v>
      </c>
      <c r="P35" s="1">
        <v>3.92</v>
      </c>
      <c r="Q35" t="s">
        <v>2658</v>
      </c>
      <c r="R35" s="3" t="s">
        <v>5</v>
      </c>
    </row>
    <row r="36" spans="1:18">
      <c r="A36" t="s">
        <v>1041</v>
      </c>
      <c r="B36" s="8" t="s">
        <v>1049</v>
      </c>
      <c r="C36" t="s">
        <v>1050</v>
      </c>
      <c r="D36" s="7" t="s">
        <v>1048</v>
      </c>
      <c r="E36" s="1">
        <v>0.6</v>
      </c>
      <c r="G36" s="1">
        <v>5.8</v>
      </c>
      <c r="H36" s="1">
        <v>-18</v>
      </c>
      <c r="I36" s="1">
        <v>2.1</v>
      </c>
      <c r="K36" s="1">
        <v>2.8</v>
      </c>
      <c r="L36" s="1">
        <v>16.5</v>
      </c>
      <c r="M36" s="1">
        <v>3</v>
      </c>
      <c r="N36" s="1">
        <v>39.6</v>
      </c>
      <c r="Q36" t="s">
        <v>2659</v>
      </c>
      <c r="R36" s="3" t="s">
        <v>5</v>
      </c>
    </row>
    <row r="37" spans="1:18">
      <c r="A37" t="s">
        <v>1041</v>
      </c>
      <c r="B37" s="8" t="s">
        <v>1055</v>
      </c>
      <c r="C37" t="s">
        <v>1056</v>
      </c>
      <c r="D37" s="7" t="s">
        <v>1054</v>
      </c>
      <c r="E37" s="1">
        <v>0.6</v>
      </c>
      <c r="F37" s="1">
        <v>0.1</v>
      </c>
      <c r="G37" s="1">
        <v>0.95</v>
      </c>
      <c r="H37" s="1">
        <v>-10</v>
      </c>
      <c r="I37" s="1">
        <v>1.6</v>
      </c>
      <c r="K37" s="1">
        <v>8.5</v>
      </c>
      <c r="L37" s="1">
        <v>17</v>
      </c>
      <c r="M37" s="1">
        <v>2.7</v>
      </c>
      <c r="N37" s="1">
        <v>12.69</v>
      </c>
      <c r="P37" s="1">
        <v>0.55000000000000004</v>
      </c>
      <c r="Q37" t="s">
        <v>2660</v>
      </c>
      <c r="R37" s="3" t="s">
        <v>5</v>
      </c>
    </row>
    <row r="38" spans="1:18">
      <c r="A38" t="s">
        <v>1041</v>
      </c>
      <c r="B38" s="8" t="s">
        <v>1057</v>
      </c>
      <c r="C38" t="s">
        <v>1059</v>
      </c>
      <c r="D38" s="7" t="s">
        <v>1058</v>
      </c>
      <c r="E38" s="1">
        <v>0.15</v>
      </c>
      <c r="F38" s="1">
        <v>4.4000000000000004</v>
      </c>
      <c r="G38" s="1">
        <v>55.2</v>
      </c>
      <c r="H38" s="1">
        <v>-10</v>
      </c>
      <c r="I38" s="1">
        <v>3.3</v>
      </c>
      <c r="L38" s="1">
        <v>17</v>
      </c>
      <c r="M38" s="1">
        <v>2.5</v>
      </c>
      <c r="N38" s="1">
        <v>62</v>
      </c>
      <c r="O38" s="1">
        <v>0.33579999999999999</v>
      </c>
      <c r="P38" s="1">
        <v>0.74880000000000002</v>
      </c>
      <c r="Q38" t="s">
        <v>2661</v>
      </c>
      <c r="R38" s="3" t="s">
        <v>5</v>
      </c>
    </row>
    <row r="39" spans="1:18">
      <c r="A39" t="s">
        <v>1041</v>
      </c>
      <c r="B39" s="8" t="s">
        <v>1060</v>
      </c>
      <c r="C39" t="s">
        <v>1062</v>
      </c>
      <c r="D39" s="7" t="s">
        <v>1061</v>
      </c>
      <c r="E39" s="1">
        <v>0.15</v>
      </c>
      <c r="F39" s="1">
        <v>10</v>
      </c>
      <c r="G39" s="1">
        <v>60</v>
      </c>
      <c r="I39" s="1">
        <v>5</v>
      </c>
      <c r="L39" s="1">
        <v>18.5</v>
      </c>
      <c r="M39" s="1">
        <v>3</v>
      </c>
      <c r="N39" s="1">
        <v>63</v>
      </c>
      <c r="P39" s="1">
        <v>0.9</v>
      </c>
      <c r="Q39" t="s">
        <v>2662</v>
      </c>
      <c r="R39" s="3" t="s">
        <v>5</v>
      </c>
    </row>
    <row r="40" spans="1:18">
      <c r="A40" t="s">
        <v>1063</v>
      </c>
      <c r="B40" s="8" t="s">
        <v>1064</v>
      </c>
      <c r="C40" t="s">
        <v>1066</v>
      </c>
      <c r="D40" s="7" t="s">
        <v>1065</v>
      </c>
      <c r="E40" s="1">
        <v>0.5</v>
      </c>
      <c r="G40" s="1">
        <v>2.14</v>
      </c>
      <c r="I40" s="1">
        <v>1</v>
      </c>
      <c r="J40" s="1">
        <v>-6</v>
      </c>
      <c r="K40" s="1">
        <v>7.3</v>
      </c>
      <c r="L40" s="1">
        <v>15</v>
      </c>
      <c r="M40" s="1">
        <v>3</v>
      </c>
      <c r="N40" s="1">
        <v>25.5</v>
      </c>
      <c r="Q40" t="s">
        <v>2663</v>
      </c>
      <c r="R40" s="3" t="s">
        <v>2440</v>
      </c>
    </row>
    <row r="41" spans="1:18">
      <c r="E41" s="1">
        <v>0.5</v>
      </c>
      <c r="G41" s="1">
        <v>2.14</v>
      </c>
      <c r="I41" s="1">
        <v>1.1000000000000001</v>
      </c>
      <c r="J41" s="1">
        <v>-6</v>
      </c>
      <c r="K41" s="1">
        <v>2</v>
      </c>
      <c r="L41" s="1">
        <v>14</v>
      </c>
      <c r="M41" s="1">
        <v>3</v>
      </c>
      <c r="N41" s="1">
        <v>10.5</v>
      </c>
    </row>
    <row r="42" spans="1:18">
      <c r="A42" t="s">
        <v>1063</v>
      </c>
      <c r="B42" s="8" t="s">
        <v>1075</v>
      </c>
      <c r="C42" t="s">
        <v>1076</v>
      </c>
      <c r="D42" s="7" t="s">
        <v>1074</v>
      </c>
      <c r="E42" s="1">
        <v>7.0000000000000007E-2</v>
      </c>
      <c r="F42" s="1">
        <v>10</v>
      </c>
      <c r="G42" s="1">
        <v>100</v>
      </c>
      <c r="H42" s="1">
        <v>-8</v>
      </c>
      <c r="I42" s="1">
        <v>2.1</v>
      </c>
      <c r="L42" s="1">
        <v>13</v>
      </c>
      <c r="P42" s="1">
        <v>1</v>
      </c>
      <c r="Q42" t="s">
        <v>2664</v>
      </c>
      <c r="R42" s="3" t="s">
        <v>5</v>
      </c>
    </row>
    <row r="43" spans="1:18">
      <c r="A43" t="s">
        <v>1063</v>
      </c>
      <c r="B43" s="8" t="s">
        <v>1080</v>
      </c>
      <c r="C43" t="s">
        <v>1082</v>
      </c>
      <c r="D43" s="7" t="s">
        <v>1081</v>
      </c>
      <c r="E43" s="1">
        <v>0.19</v>
      </c>
      <c r="F43" s="1">
        <v>1</v>
      </c>
      <c r="G43" s="1">
        <v>76.5</v>
      </c>
      <c r="H43" s="1">
        <v>-10</v>
      </c>
      <c r="I43" s="1">
        <v>3.5</v>
      </c>
      <c r="L43" s="1">
        <v>15</v>
      </c>
      <c r="M43" s="1">
        <v>2</v>
      </c>
      <c r="N43" s="1">
        <v>38.4</v>
      </c>
      <c r="P43" s="1">
        <v>2.2559999999999998</v>
      </c>
      <c r="Q43" t="s">
        <v>2665</v>
      </c>
      <c r="R43" s="3" t="s">
        <v>5</v>
      </c>
    </row>
    <row r="44" spans="1:18">
      <c r="A44" t="s">
        <v>1063</v>
      </c>
      <c r="B44" s="8" t="s">
        <v>1083</v>
      </c>
      <c r="C44" t="s">
        <v>1085</v>
      </c>
      <c r="D44" s="7" t="s">
        <v>1084</v>
      </c>
      <c r="E44" s="1">
        <v>0.15</v>
      </c>
      <c r="F44" s="1">
        <v>4</v>
      </c>
      <c r="G44" s="1">
        <v>12</v>
      </c>
      <c r="H44" s="1">
        <v>-10</v>
      </c>
      <c r="I44" s="1">
        <v>1.1399999999999999</v>
      </c>
      <c r="J44" s="1">
        <v>-18</v>
      </c>
      <c r="L44" s="1">
        <v>24.5</v>
      </c>
      <c r="M44" s="1">
        <v>2</v>
      </c>
      <c r="N44" s="1">
        <v>96</v>
      </c>
      <c r="Q44" t="s">
        <v>2666</v>
      </c>
      <c r="R44" s="3" t="s">
        <v>5</v>
      </c>
    </row>
    <row r="45" spans="1:18">
      <c r="A45" t="s">
        <v>1086</v>
      </c>
      <c r="B45" s="8" t="s">
        <v>1090</v>
      </c>
      <c r="C45" t="s">
        <v>1092</v>
      </c>
      <c r="D45" s="7" t="s">
        <v>1091</v>
      </c>
      <c r="E45" s="6" t="s">
        <v>5</v>
      </c>
      <c r="F45" s="1">
        <v>2.8</v>
      </c>
      <c r="G45" s="1">
        <v>5.4</v>
      </c>
      <c r="H45" s="1">
        <v>-7</v>
      </c>
      <c r="I45" s="1">
        <v>2.4</v>
      </c>
      <c r="J45" s="1">
        <v>-9</v>
      </c>
      <c r="K45" s="1">
        <v>-7.5</v>
      </c>
      <c r="L45" s="1">
        <v>23.5</v>
      </c>
      <c r="M45" s="1">
        <v>3</v>
      </c>
      <c r="N45" s="1">
        <v>27.6</v>
      </c>
      <c r="P45" s="1">
        <v>0.86</v>
      </c>
      <c r="Q45" t="s">
        <v>2667</v>
      </c>
      <c r="R45" s="3" t="s">
        <v>1093</v>
      </c>
    </row>
    <row r="46" spans="1:18">
      <c r="F46" s="1">
        <v>2.8</v>
      </c>
      <c r="G46" s="1">
        <v>5.3</v>
      </c>
      <c r="H46" s="1">
        <v>-7.1</v>
      </c>
      <c r="I46" s="1">
        <v>3.6</v>
      </c>
      <c r="K46" s="1">
        <v>-0.5</v>
      </c>
      <c r="L46" s="1">
        <v>4.3</v>
      </c>
      <c r="M46" s="1">
        <v>3</v>
      </c>
      <c r="N46" s="1">
        <v>15</v>
      </c>
    </row>
    <row r="47" spans="1:18">
      <c r="A47" t="s">
        <v>1086</v>
      </c>
      <c r="B47" s="8" t="s">
        <v>1098</v>
      </c>
      <c r="C47" t="s">
        <v>1099</v>
      </c>
      <c r="D47" s="7" t="s">
        <v>1097</v>
      </c>
      <c r="E47" s="1">
        <v>0.15</v>
      </c>
      <c r="F47" s="1">
        <v>3</v>
      </c>
      <c r="G47" s="1">
        <v>8.5</v>
      </c>
      <c r="H47" s="1">
        <v>-11</v>
      </c>
      <c r="I47" s="1">
        <v>0.52</v>
      </c>
      <c r="J47" s="1">
        <v>-28.5</v>
      </c>
      <c r="K47" s="1">
        <v>-17.5</v>
      </c>
      <c r="L47" s="1">
        <v>31.5</v>
      </c>
      <c r="M47" s="1">
        <v>2.5</v>
      </c>
      <c r="N47" s="1">
        <v>42.5</v>
      </c>
      <c r="Q47" t="s">
        <v>2668</v>
      </c>
      <c r="R47" s="3" t="s">
        <v>1100</v>
      </c>
    </row>
    <row r="48" spans="1:18">
      <c r="E48" s="1">
        <v>0.15</v>
      </c>
      <c r="F48" s="1">
        <v>3</v>
      </c>
      <c r="G48" s="1">
        <v>8.5</v>
      </c>
      <c r="H48" s="1">
        <v>-9</v>
      </c>
      <c r="I48" s="1">
        <v>0.53</v>
      </c>
      <c r="J48" s="1">
        <v>-22.5</v>
      </c>
      <c r="K48" s="1">
        <v>-11.5</v>
      </c>
      <c r="L48" s="1">
        <v>32</v>
      </c>
      <c r="M48" s="1">
        <v>1</v>
      </c>
      <c r="N48" s="1">
        <v>109</v>
      </c>
    </row>
    <row r="49" spans="1:18">
      <c r="A49" t="s">
        <v>1101</v>
      </c>
      <c r="B49" s="8" t="s">
        <v>1105</v>
      </c>
      <c r="C49" t="s">
        <v>1107</v>
      </c>
      <c r="D49" s="7" t="s">
        <v>1106</v>
      </c>
      <c r="E49" s="6" t="s">
        <v>5</v>
      </c>
      <c r="G49" s="1">
        <v>2.4</v>
      </c>
      <c r="H49" s="1">
        <v>-5</v>
      </c>
      <c r="I49" s="1">
        <v>0.9</v>
      </c>
      <c r="J49" s="1">
        <v>-5.5</v>
      </c>
      <c r="K49" s="1">
        <v>5.5</v>
      </c>
      <c r="L49" s="1">
        <v>17</v>
      </c>
      <c r="P49" s="1">
        <v>0.84</v>
      </c>
      <c r="Q49" t="s">
        <v>2669</v>
      </c>
      <c r="R49" s="3" t="s">
        <v>361</v>
      </c>
    </row>
    <row r="50" spans="1:18">
      <c r="F50" s="1">
        <v>1.1000000000000001</v>
      </c>
      <c r="G50" s="1">
        <v>5.45</v>
      </c>
      <c r="H50" s="1">
        <v>-5</v>
      </c>
      <c r="I50" s="1">
        <v>1.5</v>
      </c>
      <c r="J50" s="1">
        <v>-14</v>
      </c>
      <c r="K50" s="1">
        <v>-2</v>
      </c>
      <c r="L50" s="1">
        <v>23</v>
      </c>
    </row>
    <row r="51" spans="1:18">
      <c r="A51" t="s">
        <v>1110</v>
      </c>
      <c r="B51" s="8" t="s">
        <v>1118</v>
      </c>
      <c r="C51" t="s">
        <v>1119</v>
      </c>
      <c r="D51" s="7" t="s">
        <v>1117</v>
      </c>
      <c r="E51" s="1">
        <v>0.25</v>
      </c>
      <c r="F51" s="1">
        <v>6</v>
      </c>
      <c r="G51" s="1">
        <v>19</v>
      </c>
      <c r="H51" s="1">
        <v>-10</v>
      </c>
      <c r="I51" s="1">
        <v>1.7</v>
      </c>
      <c r="J51" s="1">
        <v>-9</v>
      </c>
      <c r="K51" s="1">
        <v>0</v>
      </c>
      <c r="L51" s="1">
        <v>26</v>
      </c>
      <c r="M51" s="1">
        <v>4</v>
      </c>
      <c r="N51" s="1">
        <v>420</v>
      </c>
      <c r="P51" s="1">
        <v>2.9645000000000001</v>
      </c>
      <c r="Q51" t="s">
        <v>2670</v>
      </c>
      <c r="R51" s="3" t="s">
        <v>5</v>
      </c>
    </row>
    <row r="52" spans="1:18">
      <c r="A52" t="s">
        <v>1110</v>
      </c>
      <c r="B52" s="8" t="s">
        <v>1128</v>
      </c>
      <c r="C52" t="s">
        <v>1130</v>
      </c>
      <c r="D52" s="7" t="s">
        <v>1129</v>
      </c>
      <c r="E52" s="1">
        <v>0.1</v>
      </c>
      <c r="F52" s="1">
        <v>10.7</v>
      </c>
      <c r="G52" s="1">
        <v>5.65</v>
      </c>
      <c r="H52" s="1">
        <v>-5</v>
      </c>
      <c r="I52" s="1">
        <v>1.2</v>
      </c>
      <c r="L52" s="1">
        <v>16</v>
      </c>
      <c r="M52" s="1">
        <v>0.5</v>
      </c>
      <c r="N52" s="1">
        <v>5</v>
      </c>
      <c r="P52" s="1">
        <v>2.2999999999999998</v>
      </c>
      <c r="Q52" t="s">
        <v>2671</v>
      </c>
      <c r="R52" s="3" t="s">
        <v>1100</v>
      </c>
    </row>
    <row r="53" spans="1:18">
      <c r="E53" s="1">
        <v>0.1</v>
      </c>
      <c r="F53" s="1">
        <v>10.7</v>
      </c>
      <c r="G53" s="1">
        <v>5.65</v>
      </c>
      <c r="H53" s="1">
        <v>-5</v>
      </c>
      <c r="I53" s="1">
        <v>0.9</v>
      </c>
      <c r="L53" s="1">
        <v>30</v>
      </c>
      <c r="M53" s="1">
        <v>0.5</v>
      </c>
      <c r="N53" s="1">
        <v>7.5</v>
      </c>
      <c r="P53" s="1">
        <v>5.75</v>
      </c>
    </row>
    <row r="54" spans="1:18">
      <c r="A54" t="s">
        <v>1135</v>
      </c>
      <c r="B54" s="8" t="s">
        <v>1144</v>
      </c>
      <c r="C54" t="s">
        <v>1145</v>
      </c>
      <c r="D54" s="7" t="s">
        <v>1143</v>
      </c>
      <c r="E54" s="1">
        <v>7.0000000000000007E-2</v>
      </c>
      <c r="F54" s="1">
        <v>28</v>
      </c>
      <c r="G54" s="1">
        <v>231</v>
      </c>
      <c r="H54" s="1">
        <v>-10</v>
      </c>
      <c r="L54" s="1">
        <v>15</v>
      </c>
      <c r="M54" s="1">
        <v>1.2</v>
      </c>
      <c r="N54" s="1">
        <v>38.4</v>
      </c>
      <c r="P54" s="1">
        <v>0.97499999999999998</v>
      </c>
      <c r="Q54" t="s">
        <v>2672</v>
      </c>
      <c r="R54" s="3" t="s">
        <v>5</v>
      </c>
    </row>
    <row r="55" spans="1:18">
      <c r="B55" s="8"/>
      <c r="D55" s="7"/>
      <c r="E55" s="1">
        <v>7.0000000000000007E-2</v>
      </c>
      <c r="F55" s="1">
        <v>3.5</v>
      </c>
      <c r="G55" s="1">
        <v>234.25</v>
      </c>
      <c r="H55" s="1">
        <v>-10</v>
      </c>
      <c r="L55" s="1">
        <v>9</v>
      </c>
      <c r="M55" s="1">
        <v>1.2</v>
      </c>
      <c r="N55" s="1">
        <v>20.399999999999999</v>
      </c>
      <c r="Q55" s="4"/>
      <c r="R55" s="3"/>
    </row>
    <row r="56" spans="1:18">
      <c r="B56" s="8"/>
      <c r="D56" s="7"/>
      <c r="E56" s="1">
        <v>7.0000000000000007E-2</v>
      </c>
      <c r="F56" s="1">
        <v>10</v>
      </c>
      <c r="G56" s="1">
        <v>232.5</v>
      </c>
      <c r="H56" s="1">
        <v>-10</v>
      </c>
      <c r="L56" s="1">
        <v>20</v>
      </c>
      <c r="M56" s="1">
        <v>1</v>
      </c>
      <c r="N56" s="1">
        <v>34</v>
      </c>
      <c r="Q56" s="4"/>
      <c r="R56" s="3"/>
    </row>
    <row r="57" spans="1:18">
      <c r="A57" t="s">
        <v>1152</v>
      </c>
      <c r="B57" s="8" t="s">
        <v>1154</v>
      </c>
      <c r="C57" t="s">
        <v>1155</v>
      </c>
      <c r="D57" s="7" t="s">
        <v>1153</v>
      </c>
      <c r="E57" s="1">
        <v>0.25</v>
      </c>
      <c r="G57" s="1">
        <v>1.575</v>
      </c>
      <c r="H57" s="1">
        <v>-8</v>
      </c>
      <c r="I57" s="1">
        <v>0.82</v>
      </c>
      <c r="J57" s="1">
        <v>-10</v>
      </c>
      <c r="K57" s="1">
        <v>0.5</v>
      </c>
      <c r="L57" s="1">
        <v>18</v>
      </c>
      <c r="M57" s="1">
        <v>2.7</v>
      </c>
      <c r="N57" s="1">
        <v>13.5</v>
      </c>
      <c r="P57" s="1">
        <v>6.93</v>
      </c>
      <c r="Q57" t="s">
        <v>2673</v>
      </c>
      <c r="R57" s="3" t="s">
        <v>5</v>
      </c>
    </row>
    <row r="58" spans="1:18">
      <c r="A58" t="s">
        <v>1202</v>
      </c>
      <c r="B58" s="8" t="s">
        <v>1207</v>
      </c>
      <c r="C58" t="s">
        <v>1209</v>
      </c>
      <c r="D58" s="7" t="s">
        <v>1208</v>
      </c>
      <c r="E58" s="6" t="s">
        <v>5</v>
      </c>
      <c r="F58" s="1">
        <v>20</v>
      </c>
      <c r="G58" s="1">
        <v>14</v>
      </c>
      <c r="H58" s="1">
        <v>-3</v>
      </c>
      <c r="I58" s="1">
        <v>1.1000000000000001</v>
      </c>
      <c r="L58" s="1">
        <v>25</v>
      </c>
      <c r="M58" s="1">
        <v>0.05</v>
      </c>
      <c r="N58" s="1">
        <v>20</v>
      </c>
      <c r="Q58" t="s">
        <v>2674</v>
      </c>
      <c r="R58" s="3" t="s">
        <v>5</v>
      </c>
    </row>
    <row r="59" spans="1:18">
      <c r="A59" t="s">
        <v>1213</v>
      </c>
      <c r="B59" s="8" t="s">
        <v>1224</v>
      </c>
      <c r="C59" t="s">
        <v>1225</v>
      </c>
      <c r="D59" s="7" t="s">
        <v>1223</v>
      </c>
      <c r="E59" s="1">
        <v>0.05</v>
      </c>
      <c r="F59" s="1">
        <v>17</v>
      </c>
      <c r="G59" s="1">
        <v>26.5</v>
      </c>
      <c r="H59" s="1">
        <v>-7</v>
      </c>
      <c r="I59" s="1">
        <v>0.8</v>
      </c>
      <c r="J59" s="1">
        <v>-20.8</v>
      </c>
      <c r="K59" s="1">
        <v>9.4</v>
      </c>
      <c r="L59" s="1">
        <v>22</v>
      </c>
      <c r="M59" s="1">
        <v>0.1</v>
      </c>
      <c r="N59" s="1">
        <v>21</v>
      </c>
      <c r="P59" s="1">
        <v>0.25</v>
      </c>
      <c r="Q59" t="s">
        <v>2675</v>
      </c>
      <c r="R59" s="3" t="s">
        <v>5</v>
      </c>
    </row>
    <row r="60" spans="1:18">
      <c r="A60" t="s">
        <v>1213</v>
      </c>
      <c r="B60" s="8" t="s">
        <v>1236</v>
      </c>
      <c r="C60" t="s">
        <v>1237</v>
      </c>
      <c r="D60" s="7" t="s">
        <v>1235</v>
      </c>
      <c r="E60" s="1">
        <v>0.15</v>
      </c>
      <c r="F60" s="1">
        <v>9</v>
      </c>
      <c r="G60" s="1">
        <v>25.5</v>
      </c>
      <c r="H60" s="1">
        <v>-10</v>
      </c>
      <c r="I60" s="1">
        <v>1.8</v>
      </c>
      <c r="K60" s="1">
        <v>9.4</v>
      </c>
      <c r="L60" s="1">
        <v>18.8</v>
      </c>
      <c r="N60" s="1">
        <v>123</v>
      </c>
      <c r="P60" s="1">
        <v>3</v>
      </c>
      <c r="Q60" t="s">
        <v>2676</v>
      </c>
      <c r="R60" s="3" t="s">
        <v>2441</v>
      </c>
    </row>
    <row r="61" spans="1:18">
      <c r="E61" s="1">
        <v>0.15</v>
      </c>
      <c r="F61" s="1">
        <v>11</v>
      </c>
      <c r="G61" s="1">
        <v>22.5</v>
      </c>
      <c r="H61" s="1">
        <v>-10</v>
      </c>
      <c r="I61" s="1">
        <v>3.5</v>
      </c>
      <c r="K61" s="1">
        <v>20.100000000000001</v>
      </c>
      <c r="L61" s="1">
        <v>9.1999999999999993</v>
      </c>
      <c r="N61" s="1">
        <v>672</v>
      </c>
    </row>
    <row r="62" spans="1:18">
      <c r="A62" t="s">
        <v>1246</v>
      </c>
      <c r="B62" s="8" t="s">
        <v>1268</v>
      </c>
      <c r="C62" t="s">
        <v>1269</v>
      </c>
      <c r="D62" s="7" t="s">
        <v>1267</v>
      </c>
      <c r="E62" s="1">
        <v>0.05</v>
      </c>
      <c r="F62" s="1">
        <v>15</v>
      </c>
      <c r="G62" s="1">
        <v>82.5</v>
      </c>
      <c r="H62" s="1">
        <v>-10</v>
      </c>
      <c r="I62" s="1">
        <v>2.1</v>
      </c>
      <c r="L62" s="1">
        <v>23.2</v>
      </c>
      <c r="M62" s="1">
        <v>0.6</v>
      </c>
      <c r="N62" s="1">
        <v>14.4</v>
      </c>
      <c r="P62" s="1">
        <v>1.75</v>
      </c>
      <c r="Q62" t="s">
        <v>2677</v>
      </c>
      <c r="R62" s="3" t="s">
        <v>1100</v>
      </c>
    </row>
    <row r="63" spans="1:18">
      <c r="E63" s="1">
        <v>0.05</v>
      </c>
      <c r="F63" s="1">
        <v>36</v>
      </c>
      <c r="G63" s="1">
        <v>92</v>
      </c>
      <c r="H63" s="1">
        <v>-5</v>
      </c>
      <c r="I63" s="1">
        <v>2.8</v>
      </c>
      <c r="L63" s="1">
        <v>18.5</v>
      </c>
      <c r="M63" s="1">
        <v>0.6</v>
      </c>
      <c r="N63" s="1">
        <v>7.2</v>
      </c>
    </row>
    <row r="64" spans="1:18">
      <c r="A64" t="s">
        <v>1272</v>
      </c>
      <c r="B64" s="8" t="s">
        <v>1271</v>
      </c>
      <c r="C64" t="s">
        <v>1273</v>
      </c>
      <c r="D64" s="7" t="s">
        <v>1270</v>
      </c>
      <c r="E64" s="1">
        <v>0.1</v>
      </c>
      <c r="F64" s="1">
        <v>12</v>
      </c>
      <c r="G64" s="1">
        <v>72</v>
      </c>
      <c r="H64" s="1">
        <v>-10</v>
      </c>
      <c r="I64" s="1">
        <v>4.5999999999999996</v>
      </c>
      <c r="J64" s="1">
        <v>-8.4</v>
      </c>
      <c r="K64" s="1">
        <v>0.7</v>
      </c>
      <c r="L64" s="1">
        <v>22</v>
      </c>
      <c r="M64" s="1">
        <v>6</v>
      </c>
      <c r="N64" s="1">
        <v>360</v>
      </c>
      <c r="P64" s="1">
        <v>2.31</v>
      </c>
      <c r="Q64" t="s">
        <v>2678</v>
      </c>
      <c r="R64" s="3" t="s">
        <v>5</v>
      </c>
    </row>
    <row r="65" spans="1:18">
      <c r="A65" t="s">
        <v>1272</v>
      </c>
      <c r="B65" s="8" t="s">
        <v>1275</v>
      </c>
      <c r="C65" t="s">
        <v>1276</v>
      </c>
      <c r="D65" s="7" t="s">
        <v>1274</v>
      </c>
      <c r="E65" s="1">
        <v>0.05</v>
      </c>
      <c r="F65" s="1">
        <v>35</v>
      </c>
      <c r="G65" s="1">
        <v>42.5</v>
      </c>
      <c r="H65" s="1">
        <v>-10</v>
      </c>
      <c r="I65" s="1">
        <v>1.55</v>
      </c>
      <c r="L65" s="1">
        <v>27.5</v>
      </c>
      <c r="M65" s="1">
        <v>1.2</v>
      </c>
      <c r="N65" s="1">
        <v>60</v>
      </c>
      <c r="P65" s="1">
        <v>2</v>
      </c>
      <c r="Q65" t="s">
        <v>2679</v>
      </c>
      <c r="R65" s="3" t="s">
        <v>5</v>
      </c>
    </row>
    <row r="66" spans="1:18">
      <c r="A66" t="s">
        <v>1272</v>
      </c>
      <c r="B66" s="8" t="s">
        <v>1278</v>
      </c>
      <c r="C66" t="s">
        <v>1279</v>
      </c>
      <c r="D66" s="7" t="s">
        <v>1277</v>
      </c>
      <c r="E66" s="1">
        <v>0.25</v>
      </c>
      <c r="F66" s="1">
        <v>0.8</v>
      </c>
      <c r="G66" s="1">
        <v>1.9</v>
      </c>
      <c r="I66" s="1">
        <v>0.5</v>
      </c>
      <c r="J66" s="1">
        <v>1</v>
      </c>
      <c r="K66" s="1">
        <v>15</v>
      </c>
      <c r="L66" s="1">
        <v>22</v>
      </c>
      <c r="M66" s="1">
        <v>5</v>
      </c>
      <c r="N66" s="1">
        <v>300</v>
      </c>
      <c r="P66" s="1">
        <v>1.9</v>
      </c>
      <c r="Q66" t="s">
        <v>2680</v>
      </c>
      <c r="R66" s="3" t="s">
        <v>5</v>
      </c>
    </row>
    <row r="67" spans="1:18">
      <c r="A67" t="s">
        <v>1272</v>
      </c>
      <c r="B67" s="8" t="s">
        <v>1287</v>
      </c>
      <c r="C67" t="s">
        <v>1288</v>
      </c>
      <c r="D67" s="7" t="s">
        <v>1286</v>
      </c>
      <c r="E67" s="1">
        <v>0.05</v>
      </c>
      <c r="F67" s="1">
        <v>15</v>
      </c>
      <c r="G67" s="1">
        <v>78.5</v>
      </c>
      <c r="H67" s="1">
        <v>-5</v>
      </c>
      <c r="I67" s="1">
        <v>1.6</v>
      </c>
      <c r="L67" s="1">
        <v>26</v>
      </c>
      <c r="M67" s="1">
        <v>2</v>
      </c>
      <c r="N67" s="1">
        <v>45</v>
      </c>
      <c r="P67" s="1">
        <v>1.3560000000000001</v>
      </c>
      <c r="Q67" t="s">
        <v>2681</v>
      </c>
      <c r="R67" s="3" t="s">
        <v>5</v>
      </c>
    </row>
    <row r="68" spans="1:18">
      <c r="A68" t="s">
        <v>1272</v>
      </c>
      <c r="B68" s="8" t="s">
        <v>1290</v>
      </c>
      <c r="C68" t="s">
        <v>1291</v>
      </c>
      <c r="D68" s="7" t="s">
        <v>1289</v>
      </c>
      <c r="E68" s="1">
        <v>0.02</v>
      </c>
      <c r="F68" s="1">
        <v>64</v>
      </c>
      <c r="G68" s="1">
        <v>587</v>
      </c>
      <c r="H68" s="1">
        <v>-10</v>
      </c>
      <c r="L68" s="1">
        <v>15.4</v>
      </c>
      <c r="M68" s="1">
        <v>1</v>
      </c>
      <c r="N68" s="1">
        <v>28</v>
      </c>
      <c r="P68" s="1">
        <v>0.14000000000000001</v>
      </c>
      <c r="Q68" t="s">
        <v>2682</v>
      </c>
      <c r="R68" s="3" t="s">
        <v>5</v>
      </c>
    </row>
    <row r="69" spans="1:18">
      <c r="A69" t="s">
        <v>1315</v>
      </c>
      <c r="B69" s="8" t="s">
        <v>1316</v>
      </c>
      <c r="C69" t="s">
        <v>1318</v>
      </c>
      <c r="D69" s="7" t="s">
        <v>1317</v>
      </c>
      <c r="E69" s="1">
        <v>0.05</v>
      </c>
      <c r="F69" s="1">
        <v>61.5</v>
      </c>
      <c r="G69" s="1">
        <v>133.25</v>
      </c>
      <c r="H69" s="1">
        <v>-10</v>
      </c>
      <c r="I69" s="1">
        <v>3</v>
      </c>
      <c r="L69" s="1">
        <v>30.8</v>
      </c>
      <c r="M69" s="1">
        <v>1.4</v>
      </c>
      <c r="N69" s="1">
        <v>57.6</v>
      </c>
      <c r="P69" s="1">
        <v>1.5</v>
      </c>
      <c r="Q69" t="s">
        <v>2683</v>
      </c>
      <c r="R69" s="3" t="s">
        <v>1100</v>
      </c>
    </row>
    <row r="70" spans="1:18">
      <c r="E70" s="1">
        <v>0.1</v>
      </c>
      <c r="F70" s="1">
        <v>52</v>
      </c>
      <c r="G70" s="1">
        <v>129</v>
      </c>
      <c r="H70" s="1">
        <v>-10</v>
      </c>
      <c r="I70" s="1">
        <v>4.2</v>
      </c>
      <c r="L70" s="1">
        <v>23</v>
      </c>
      <c r="M70" s="1">
        <v>1.4</v>
      </c>
      <c r="N70" s="1">
        <v>31.5</v>
      </c>
    </row>
    <row r="71" spans="1:18">
      <c r="A71" t="s">
        <v>1315</v>
      </c>
      <c r="B71" s="8" t="s">
        <v>1326</v>
      </c>
      <c r="C71" t="s">
        <v>1327</v>
      </c>
      <c r="D71" s="7" t="s">
        <v>1325</v>
      </c>
      <c r="E71" s="1">
        <v>3.5000000000000003E-2</v>
      </c>
      <c r="F71" s="1">
        <v>66</v>
      </c>
      <c r="G71" s="1">
        <v>93</v>
      </c>
      <c r="H71" s="1">
        <v>-10</v>
      </c>
      <c r="I71" s="1">
        <v>1.6</v>
      </c>
      <c r="L71" s="1">
        <v>28</v>
      </c>
      <c r="M71" s="1">
        <v>0.8</v>
      </c>
      <c r="N71" s="1">
        <v>40.799999999999997</v>
      </c>
      <c r="P71" s="1">
        <v>1.5</v>
      </c>
      <c r="Q71" t="s">
        <v>2684</v>
      </c>
      <c r="R71" s="3" t="s">
        <v>1100</v>
      </c>
    </row>
    <row r="72" spans="1:18">
      <c r="E72" s="1">
        <v>0.05</v>
      </c>
      <c r="F72" s="1">
        <v>68</v>
      </c>
      <c r="G72" s="1">
        <v>83.5</v>
      </c>
      <c r="H72" s="1">
        <v>-8.5</v>
      </c>
      <c r="I72" s="1">
        <v>1.8</v>
      </c>
      <c r="L72" s="1">
        <v>27</v>
      </c>
      <c r="M72" s="1">
        <v>0.6</v>
      </c>
      <c r="N72" s="1">
        <v>34.6</v>
      </c>
      <c r="P72" s="1">
        <v>1.5</v>
      </c>
    </row>
    <row r="73" spans="1:18">
      <c r="A73" t="s">
        <v>1315</v>
      </c>
      <c r="B73" s="8" t="s">
        <v>1335</v>
      </c>
      <c r="C73" t="s">
        <v>1336</v>
      </c>
      <c r="D73" s="7" t="s">
        <v>1334</v>
      </c>
      <c r="E73" s="1">
        <v>3.5000000000000003E-2</v>
      </c>
      <c r="F73" s="1">
        <v>78</v>
      </c>
      <c r="G73" s="1">
        <v>291</v>
      </c>
      <c r="H73" s="1">
        <v>-6</v>
      </c>
      <c r="I73" s="1">
        <v>6.5</v>
      </c>
      <c r="L73" s="1">
        <v>29</v>
      </c>
      <c r="M73" s="1">
        <v>5</v>
      </c>
      <c r="P73" s="1">
        <v>1.2</v>
      </c>
      <c r="Q73" t="s">
        <v>2685</v>
      </c>
      <c r="R73" s="3" t="s">
        <v>5</v>
      </c>
    </row>
    <row r="74" spans="1:18">
      <c r="A74" t="s">
        <v>1315</v>
      </c>
      <c r="B74" s="8" t="s">
        <v>1338</v>
      </c>
      <c r="C74" t="s">
        <v>2439</v>
      </c>
      <c r="D74" s="7" t="s">
        <v>1337</v>
      </c>
      <c r="E74" s="1">
        <v>0.15</v>
      </c>
      <c r="F74" s="1">
        <v>14</v>
      </c>
      <c r="G74" s="1">
        <v>23</v>
      </c>
      <c r="H74" s="1">
        <v>-10</v>
      </c>
      <c r="I74" s="1">
        <v>1.25</v>
      </c>
      <c r="J74" s="1">
        <v>-11.5</v>
      </c>
      <c r="K74" s="1">
        <v>-1.5</v>
      </c>
      <c r="L74" s="1">
        <v>30</v>
      </c>
      <c r="M74" s="1">
        <v>2.4</v>
      </c>
      <c r="N74" s="1">
        <v>212</v>
      </c>
      <c r="P74" s="1">
        <v>1.87</v>
      </c>
      <c r="Q74" t="s">
        <v>2686</v>
      </c>
      <c r="R74" s="3" t="s">
        <v>5</v>
      </c>
    </row>
    <row r="75" spans="1:18">
      <c r="A75" t="s">
        <v>1315</v>
      </c>
      <c r="B75" s="8" t="s">
        <v>1346</v>
      </c>
      <c r="C75" t="s">
        <v>1347</v>
      </c>
      <c r="D75" s="7" t="s">
        <v>1345</v>
      </c>
      <c r="E75" s="1">
        <v>0.08</v>
      </c>
      <c r="F75" s="1">
        <v>28</v>
      </c>
      <c r="G75" s="1">
        <v>89</v>
      </c>
      <c r="H75" s="1">
        <v>-4</v>
      </c>
      <c r="I75" s="1">
        <v>3.3</v>
      </c>
      <c r="L75" s="1">
        <v>21</v>
      </c>
      <c r="M75" s="1">
        <v>1.4</v>
      </c>
      <c r="P75" s="1">
        <v>1.125</v>
      </c>
      <c r="Q75" t="s">
        <v>2687</v>
      </c>
      <c r="R75" s="3" t="s">
        <v>1100</v>
      </c>
    </row>
    <row r="76" spans="1:18">
      <c r="E76" s="1">
        <v>0.1</v>
      </c>
      <c r="F76" s="1">
        <v>30</v>
      </c>
      <c r="G76" s="1">
        <v>90</v>
      </c>
      <c r="I76" s="1">
        <v>1.9</v>
      </c>
      <c r="L76" s="1">
        <v>23</v>
      </c>
    </row>
    <row r="77" spans="1:18">
      <c r="A77" t="s">
        <v>1350</v>
      </c>
      <c r="B77" s="8" t="s">
        <v>1352</v>
      </c>
      <c r="C77" t="s">
        <v>1354</v>
      </c>
      <c r="D77" s="7" t="s">
        <v>1353</v>
      </c>
      <c r="E77" s="6" t="s">
        <v>5</v>
      </c>
      <c r="F77" s="1">
        <v>0.7</v>
      </c>
      <c r="G77" s="1">
        <v>5.5</v>
      </c>
      <c r="H77" s="1">
        <v>-16</v>
      </c>
      <c r="I77" s="1">
        <v>0.8</v>
      </c>
      <c r="L77" s="1">
        <v>23</v>
      </c>
      <c r="M77" s="1">
        <v>0.7</v>
      </c>
      <c r="N77" s="1">
        <v>34</v>
      </c>
      <c r="Q77" t="s">
        <v>2688</v>
      </c>
      <c r="R77" s="3" t="s">
        <v>5</v>
      </c>
    </row>
    <row r="78" spans="1:18">
      <c r="A78" t="s">
        <v>1358</v>
      </c>
      <c r="B78" s="8" t="s">
        <v>1363</v>
      </c>
      <c r="C78" t="s">
        <v>1364</v>
      </c>
      <c r="D78" s="7" t="s">
        <v>1362</v>
      </c>
      <c r="E78" s="1">
        <v>0.05</v>
      </c>
      <c r="F78" s="1">
        <v>53</v>
      </c>
      <c r="G78" s="1">
        <v>93.5</v>
      </c>
      <c r="H78" s="1">
        <v>-10</v>
      </c>
      <c r="I78" s="1">
        <v>1.6</v>
      </c>
      <c r="L78" s="1">
        <v>33</v>
      </c>
      <c r="M78" s="1">
        <v>0.6</v>
      </c>
      <c r="N78" s="1">
        <v>30.3</v>
      </c>
      <c r="P78" s="1">
        <v>1.125</v>
      </c>
      <c r="Q78" t="s">
        <v>2689</v>
      </c>
      <c r="R78" s="3" t="s">
        <v>1257</v>
      </c>
    </row>
    <row r="79" spans="1:18">
      <c r="E79" s="1">
        <v>0.05</v>
      </c>
      <c r="F79" s="1">
        <v>37</v>
      </c>
      <c r="G79" s="1">
        <v>75.5</v>
      </c>
      <c r="H79" s="1">
        <v>-17.5</v>
      </c>
      <c r="I79" s="1">
        <v>2.4</v>
      </c>
      <c r="L79" s="1">
        <v>28.5</v>
      </c>
      <c r="M79" s="1">
        <v>0.6</v>
      </c>
      <c r="N79" s="1">
        <v>50.2</v>
      </c>
      <c r="P79" s="1">
        <v>2.5</v>
      </c>
    </row>
    <row r="80" spans="1:18">
      <c r="E80" s="1">
        <v>0.05</v>
      </c>
      <c r="F80" s="1">
        <v>60</v>
      </c>
      <c r="G80" s="1">
        <v>90</v>
      </c>
      <c r="I80" s="1">
        <v>1.8</v>
      </c>
      <c r="L80" s="1">
        <v>28.5</v>
      </c>
      <c r="M80" s="1">
        <v>1</v>
      </c>
      <c r="N80" s="1">
        <v>35.299999999999997</v>
      </c>
    </row>
    <row r="81" spans="1:18">
      <c r="A81" t="s">
        <v>3456</v>
      </c>
      <c r="B81" t="s">
        <v>3465</v>
      </c>
      <c r="C81" t="s">
        <v>3466</v>
      </c>
      <c r="D81" t="s">
        <v>3467</v>
      </c>
      <c r="E81" s="1">
        <v>0.15</v>
      </c>
      <c r="F81" s="1">
        <v>5.5</v>
      </c>
      <c r="G81" s="1">
        <v>5.25</v>
      </c>
      <c r="H81" s="1">
        <v>-10</v>
      </c>
      <c r="I81" s="1">
        <v>1.38</v>
      </c>
      <c r="J81" s="1">
        <v>-14.7</v>
      </c>
      <c r="L81" s="1">
        <v>22.1</v>
      </c>
      <c r="N81" s="1">
        <v>128.4</v>
      </c>
      <c r="P81" s="1">
        <v>3</v>
      </c>
    </row>
    <row r="82" spans="1:18">
      <c r="E82" s="1">
        <v>0.15</v>
      </c>
      <c r="F82" s="1">
        <v>12</v>
      </c>
      <c r="G82" s="1">
        <v>12</v>
      </c>
      <c r="H82" s="1">
        <v>-10</v>
      </c>
      <c r="I82" s="1">
        <v>1.64</v>
      </c>
      <c r="J82" s="1">
        <v>-15.5</v>
      </c>
      <c r="L82" s="1">
        <v>22.7</v>
      </c>
      <c r="N82" s="1">
        <v>237.2</v>
      </c>
      <c r="P82" s="1">
        <v>3</v>
      </c>
    </row>
    <row r="83" spans="1:18">
      <c r="A83" t="s">
        <v>3624</v>
      </c>
      <c r="B83" t="s">
        <v>3660</v>
      </c>
      <c r="C83" t="s">
        <v>3661</v>
      </c>
      <c r="D83" t="s">
        <v>3662</v>
      </c>
      <c r="E83" s="1">
        <v>3.5000000000000003E-2</v>
      </c>
      <c r="F83" s="1">
        <v>78</v>
      </c>
      <c r="G83" s="1">
        <v>105</v>
      </c>
      <c r="H83" s="1">
        <v>-9</v>
      </c>
      <c r="I83" s="1">
        <v>1.9</v>
      </c>
      <c r="L83" s="1">
        <v>33.200000000000003</v>
      </c>
      <c r="M83" s="1">
        <v>0.5</v>
      </c>
      <c r="N83" s="1">
        <v>26.5</v>
      </c>
      <c r="P83" s="1">
        <v>0.9375</v>
      </c>
      <c r="Q83" t="s">
        <v>3663</v>
      </c>
    </row>
    <row r="84" spans="1:18">
      <c r="E84" s="1">
        <v>0.02</v>
      </c>
      <c r="F84" s="1">
        <v>78</v>
      </c>
      <c r="G84" s="1">
        <v>105</v>
      </c>
      <c r="H84" s="1">
        <v>-9</v>
      </c>
      <c r="I84" s="1">
        <v>2.2000000000000002</v>
      </c>
      <c r="L84" s="1">
        <v>32.6</v>
      </c>
      <c r="M84" s="1">
        <v>0.6</v>
      </c>
      <c r="N84" s="1">
        <v>26.9</v>
      </c>
      <c r="P84" s="1">
        <v>0.9375</v>
      </c>
    </row>
    <row r="85" spans="1:18" ht="18">
      <c r="A85" t="s">
        <v>3867</v>
      </c>
      <c r="B85" t="s">
        <v>3876</v>
      </c>
      <c r="C85" t="s">
        <v>3384</v>
      </c>
      <c r="D85" t="s">
        <v>3877</v>
      </c>
      <c r="E85" s="1">
        <v>0.05</v>
      </c>
      <c r="F85" s="1">
        <v>70</v>
      </c>
      <c r="G85" s="1">
        <v>133</v>
      </c>
      <c r="H85" s="1">
        <v>-7</v>
      </c>
      <c r="I85" s="1">
        <v>2.5</v>
      </c>
      <c r="L85" s="1">
        <v>32.200000000000003</v>
      </c>
      <c r="M85" s="1">
        <v>0.6</v>
      </c>
      <c r="N85" s="1">
        <v>14.7</v>
      </c>
      <c r="P85" s="1">
        <v>1.3125</v>
      </c>
      <c r="Q85" t="s">
        <v>3878</v>
      </c>
    </row>
    <row r="86" spans="1:18">
      <c r="E86" s="1">
        <v>0.05</v>
      </c>
      <c r="F86" s="1">
        <v>72</v>
      </c>
      <c r="G86" s="1">
        <v>134</v>
      </c>
      <c r="H86" s="1">
        <v>-5</v>
      </c>
      <c r="I86" s="1">
        <v>2.4</v>
      </c>
      <c r="L86" s="1">
        <v>31.2</v>
      </c>
      <c r="M86" s="1">
        <v>0.6</v>
      </c>
      <c r="N86" s="1">
        <v>13.4</v>
      </c>
      <c r="P86" s="1">
        <v>1.3125</v>
      </c>
    </row>
    <row r="87" spans="1:18">
      <c r="A87" t="s">
        <v>3867</v>
      </c>
      <c r="B87" t="s">
        <v>3886</v>
      </c>
      <c r="C87" t="s">
        <v>3887</v>
      </c>
      <c r="D87" t="s">
        <v>3888</v>
      </c>
      <c r="E87" s="1">
        <v>0.1</v>
      </c>
      <c r="F87" s="1">
        <v>22.8</v>
      </c>
      <c r="G87" s="1">
        <v>27.4</v>
      </c>
      <c r="H87" s="1">
        <v>-10</v>
      </c>
      <c r="I87" s="1">
        <v>2.6</v>
      </c>
      <c r="J87" s="1">
        <v>-13</v>
      </c>
      <c r="K87" s="1">
        <v>-0.7</v>
      </c>
      <c r="L87" s="1">
        <v>21.2</v>
      </c>
      <c r="M87" s="1">
        <v>1.2</v>
      </c>
      <c r="N87" s="1">
        <v>60</v>
      </c>
      <c r="P87" s="1">
        <v>1.1200000000000001</v>
      </c>
      <c r="Q87" t="s">
        <v>3889</v>
      </c>
    </row>
    <row r="88" spans="1:18">
      <c r="A88" s="46" t="s">
        <v>3324</v>
      </c>
      <c r="B88" s="46"/>
      <c r="C88" s="46"/>
      <c r="D88" s="46"/>
      <c r="E88" s="93"/>
      <c r="F88" s="93"/>
      <c r="G88" s="93"/>
      <c r="H88" s="93"/>
      <c r="I88" s="93"/>
      <c r="J88" s="93"/>
      <c r="K88" s="93"/>
      <c r="L88" s="93"/>
      <c r="M88" s="93"/>
      <c r="N88" s="93"/>
      <c r="O88" s="93"/>
      <c r="P88" s="93"/>
      <c r="Q88" s="46"/>
    </row>
    <row r="89" spans="1:18">
      <c r="A89" t="s">
        <v>1366</v>
      </c>
      <c r="B89" s="8" t="s">
        <v>1367</v>
      </c>
      <c r="C89" t="s">
        <v>1369</v>
      </c>
      <c r="D89" s="7" t="s">
        <v>1368</v>
      </c>
      <c r="E89" s="1">
        <v>0.6</v>
      </c>
      <c r="G89" s="1">
        <v>5.2</v>
      </c>
      <c r="I89" s="1">
        <v>1.9</v>
      </c>
      <c r="J89" s="1">
        <v>-20</v>
      </c>
      <c r="K89" s="1">
        <v>-13</v>
      </c>
      <c r="L89" s="1">
        <v>14</v>
      </c>
      <c r="M89" s="1">
        <v>2.7</v>
      </c>
      <c r="N89" s="1">
        <v>2.97</v>
      </c>
      <c r="P89" s="1">
        <v>0.5</v>
      </c>
      <c r="Q89" t="s">
        <v>2690</v>
      </c>
      <c r="R89" s="3" t="s">
        <v>5</v>
      </c>
    </row>
    <row r="90" spans="1:18">
      <c r="A90" t="s">
        <v>1382</v>
      </c>
      <c r="B90" s="8" t="s">
        <v>1380</v>
      </c>
      <c r="C90" t="s">
        <v>1381</v>
      </c>
      <c r="D90" s="7" t="s">
        <v>1379</v>
      </c>
      <c r="E90" s="1">
        <v>0.25</v>
      </c>
      <c r="F90" s="1">
        <v>4</v>
      </c>
      <c r="G90" s="1">
        <v>38</v>
      </c>
      <c r="H90" s="1">
        <v>-10</v>
      </c>
      <c r="I90" s="1">
        <v>2.1</v>
      </c>
      <c r="L90" s="1">
        <v>22</v>
      </c>
      <c r="M90" s="1">
        <v>0.35</v>
      </c>
      <c r="N90" s="1">
        <v>4.4800000000000004</v>
      </c>
      <c r="P90" s="1">
        <v>1.05</v>
      </c>
      <c r="Q90" t="s">
        <v>2691</v>
      </c>
      <c r="R90" s="3" t="s">
        <v>5</v>
      </c>
    </row>
    <row r="91" spans="1:18">
      <c r="A91" t="s">
        <v>1393</v>
      </c>
      <c r="B91" s="8" t="s">
        <v>1395</v>
      </c>
      <c r="C91" t="s">
        <v>1396</v>
      </c>
      <c r="D91" s="7" t="s">
        <v>1394</v>
      </c>
      <c r="E91" s="1">
        <v>0.1</v>
      </c>
      <c r="F91" s="1">
        <v>15</v>
      </c>
      <c r="G91" s="1">
        <v>87.5</v>
      </c>
      <c r="H91" s="1">
        <v>-10</v>
      </c>
      <c r="I91" s="1">
        <v>5.4</v>
      </c>
      <c r="L91" s="1">
        <v>11.1</v>
      </c>
      <c r="M91" s="1">
        <v>0.3</v>
      </c>
      <c r="N91" s="1">
        <v>1.8</v>
      </c>
      <c r="P91" s="1">
        <v>1.36</v>
      </c>
      <c r="Q91" t="s">
        <v>2692</v>
      </c>
      <c r="R91" s="3" t="s">
        <v>5</v>
      </c>
    </row>
    <row r="92" spans="1:18">
      <c r="A92" t="s">
        <v>1399</v>
      </c>
      <c r="B92" s="8" t="s">
        <v>1398</v>
      </c>
      <c r="C92" t="s">
        <v>1400</v>
      </c>
      <c r="D92" s="7" t="s">
        <v>1397</v>
      </c>
      <c r="E92" s="1">
        <v>0.15</v>
      </c>
      <c r="F92" s="1">
        <v>7</v>
      </c>
      <c r="G92" s="1">
        <v>22.5</v>
      </c>
      <c r="I92" s="1">
        <v>2.5</v>
      </c>
      <c r="L92" s="1">
        <v>16</v>
      </c>
      <c r="M92" s="1">
        <v>5</v>
      </c>
      <c r="N92" s="1">
        <v>62.5</v>
      </c>
      <c r="P92" s="1">
        <v>0.49</v>
      </c>
      <c r="Q92" t="s">
        <v>2693</v>
      </c>
      <c r="R92" s="3" t="s">
        <v>5</v>
      </c>
    </row>
    <row r="93" spans="1:18">
      <c r="A93" t="s">
        <v>1416</v>
      </c>
      <c r="B93" s="8" t="s">
        <v>1415</v>
      </c>
      <c r="C93" t="s">
        <v>1417</v>
      </c>
      <c r="D93" s="7" t="s">
        <v>1414</v>
      </c>
      <c r="E93" s="1">
        <v>0.05</v>
      </c>
      <c r="F93" s="1">
        <v>12.5</v>
      </c>
      <c r="G93" s="1">
        <v>103.75</v>
      </c>
      <c r="H93" s="1">
        <v>-10</v>
      </c>
      <c r="I93" s="1">
        <v>2.5</v>
      </c>
      <c r="J93" s="1">
        <v>-11.3</v>
      </c>
      <c r="L93" s="1">
        <v>5.6</v>
      </c>
      <c r="M93" s="1">
        <v>0.35</v>
      </c>
      <c r="N93" s="1">
        <v>2</v>
      </c>
      <c r="P93" s="1">
        <v>1.21</v>
      </c>
      <c r="Q93" t="s">
        <v>2694</v>
      </c>
      <c r="R93" s="3" t="s">
        <v>5</v>
      </c>
    </row>
    <row r="94" spans="1:18">
      <c r="A94" t="s">
        <v>1455</v>
      </c>
      <c r="B94" s="8" t="s">
        <v>1453</v>
      </c>
      <c r="C94" t="s">
        <v>1454</v>
      </c>
      <c r="D94" s="7" t="s">
        <v>1452</v>
      </c>
      <c r="E94" s="1">
        <v>0.15</v>
      </c>
      <c r="F94" s="1">
        <v>7.5</v>
      </c>
      <c r="G94" s="1">
        <v>6.85</v>
      </c>
      <c r="H94" s="1">
        <v>-12</v>
      </c>
      <c r="I94" s="1">
        <v>3.4</v>
      </c>
      <c r="L94" s="1">
        <v>13</v>
      </c>
      <c r="M94" s="1">
        <v>3</v>
      </c>
      <c r="N94" s="1">
        <v>12.9</v>
      </c>
      <c r="P94" s="1">
        <v>2.25</v>
      </c>
      <c r="Q94" t="s">
        <v>2695</v>
      </c>
      <c r="R94" s="3" t="s">
        <v>5</v>
      </c>
    </row>
    <row r="95" spans="1:18">
      <c r="A95" t="s">
        <v>1563</v>
      </c>
      <c r="B95" s="8" t="s">
        <v>1565</v>
      </c>
      <c r="C95" t="s">
        <v>1566</v>
      </c>
      <c r="D95" s="7" t="s">
        <v>1564</v>
      </c>
      <c r="E95" s="6" t="s">
        <v>5</v>
      </c>
      <c r="F95" s="1">
        <v>11.2</v>
      </c>
      <c r="G95" s="1">
        <v>6.7</v>
      </c>
      <c r="H95" s="1">
        <v>-8.6</v>
      </c>
      <c r="I95" s="1">
        <v>1.95</v>
      </c>
      <c r="J95" s="1">
        <v>-17.899999999999999</v>
      </c>
      <c r="L95" s="1">
        <v>12.3</v>
      </c>
      <c r="N95" s="1">
        <v>98</v>
      </c>
      <c r="P95" s="1">
        <v>1.07</v>
      </c>
      <c r="Q95" t="s">
        <v>2696</v>
      </c>
      <c r="R95" s="3" t="s">
        <v>5</v>
      </c>
    </row>
    <row r="96" spans="1:18">
      <c r="A96" t="s">
        <v>1584</v>
      </c>
      <c r="B96" s="8" t="s">
        <v>1582</v>
      </c>
      <c r="C96" t="s">
        <v>1583</v>
      </c>
      <c r="D96" s="7" t="s">
        <v>1581</v>
      </c>
      <c r="E96" s="1">
        <v>0.15</v>
      </c>
      <c r="F96" s="1">
        <v>14</v>
      </c>
      <c r="G96" s="1">
        <v>36</v>
      </c>
      <c r="H96" s="1">
        <v>-10</v>
      </c>
      <c r="I96" s="1">
        <v>2</v>
      </c>
      <c r="L96" s="1">
        <v>14.2</v>
      </c>
      <c r="M96" s="1">
        <v>1.2</v>
      </c>
      <c r="N96" s="1">
        <v>38</v>
      </c>
      <c r="P96" s="1">
        <v>0.46800000000000003</v>
      </c>
      <c r="Q96" t="s">
        <v>2697</v>
      </c>
      <c r="R96" s="3" t="s">
        <v>5</v>
      </c>
    </row>
    <row r="97" spans="1:18">
      <c r="A97" t="s">
        <v>1651</v>
      </c>
      <c r="B97" s="8" t="s">
        <v>1649</v>
      </c>
      <c r="C97" t="s">
        <v>1650</v>
      </c>
      <c r="D97" s="7" t="s">
        <v>1648</v>
      </c>
      <c r="E97" s="1">
        <v>0.05</v>
      </c>
      <c r="F97" s="1">
        <v>10</v>
      </c>
      <c r="G97" s="1">
        <v>215</v>
      </c>
      <c r="H97" s="1">
        <v>-10</v>
      </c>
      <c r="I97" s="1">
        <v>6</v>
      </c>
      <c r="L97" s="1">
        <v>19.5</v>
      </c>
      <c r="M97" s="1">
        <v>5</v>
      </c>
      <c r="N97" s="1">
        <v>260</v>
      </c>
      <c r="P97" s="1">
        <v>1.22</v>
      </c>
      <c r="Q97" t="s">
        <v>2698</v>
      </c>
      <c r="R97" s="3" t="s">
        <v>2442</v>
      </c>
    </row>
    <row r="98" spans="1:18">
      <c r="B98" s="8"/>
      <c r="D98" s="7"/>
      <c r="E98" s="1">
        <v>0.05</v>
      </c>
      <c r="F98" s="1">
        <v>15</v>
      </c>
      <c r="G98" s="1">
        <v>262.5</v>
      </c>
      <c r="H98" s="1">
        <v>-4</v>
      </c>
      <c r="I98" s="1">
        <v>6</v>
      </c>
      <c r="L98" s="1">
        <v>17.5</v>
      </c>
      <c r="M98" s="1">
        <v>5</v>
      </c>
      <c r="N98" s="1">
        <v>260</v>
      </c>
      <c r="Q98" s="4"/>
      <c r="R98" s="3"/>
    </row>
    <row r="99" spans="1:18">
      <c r="A99" t="s">
        <v>1704</v>
      </c>
      <c r="B99" s="8" t="s">
        <v>1702</v>
      </c>
      <c r="C99" t="s">
        <v>1703</v>
      </c>
      <c r="D99" s="7" t="s">
        <v>1701</v>
      </c>
      <c r="E99" s="1">
        <v>0.05</v>
      </c>
      <c r="F99" s="1">
        <v>27.5</v>
      </c>
      <c r="G99" s="1">
        <v>173.75</v>
      </c>
      <c r="H99" s="1">
        <v>-10</v>
      </c>
      <c r="I99" s="1">
        <v>3.5</v>
      </c>
      <c r="L99" s="1">
        <v>26</v>
      </c>
      <c r="M99" s="1">
        <v>0.8</v>
      </c>
      <c r="N99" s="1">
        <v>24</v>
      </c>
      <c r="P99" s="1">
        <v>2</v>
      </c>
      <c r="Q99" t="s">
        <v>2699</v>
      </c>
      <c r="R99" s="3" t="s">
        <v>5</v>
      </c>
    </row>
    <row r="100" spans="1:18">
      <c r="A100" t="s">
        <v>1719</v>
      </c>
      <c r="B100" s="8" t="s">
        <v>1721</v>
      </c>
      <c r="C100" t="s">
        <v>1722</v>
      </c>
      <c r="D100" s="7" t="s">
        <v>1720</v>
      </c>
      <c r="E100" s="1">
        <v>0.1</v>
      </c>
      <c r="F100" s="1">
        <v>21</v>
      </c>
      <c r="G100" s="1">
        <v>32.5</v>
      </c>
      <c r="H100" s="1">
        <v>-7.5</v>
      </c>
      <c r="I100" s="1">
        <v>1.8</v>
      </c>
      <c r="J100" s="1">
        <v>-9.1</v>
      </c>
      <c r="L100" s="1">
        <v>23</v>
      </c>
      <c r="M100" s="1">
        <v>2</v>
      </c>
      <c r="N100" s="1">
        <v>140</v>
      </c>
      <c r="P100" s="1">
        <v>2</v>
      </c>
      <c r="Q100" t="s">
        <v>2700</v>
      </c>
      <c r="R100" s="3" t="s">
        <v>5</v>
      </c>
    </row>
    <row r="101" spans="1:18">
      <c r="A101" t="s">
        <v>1770</v>
      </c>
      <c r="B101" s="8" t="s">
        <v>1768</v>
      </c>
      <c r="C101" t="s">
        <v>1769</v>
      </c>
      <c r="D101" s="7" t="s">
        <v>1767</v>
      </c>
      <c r="E101" s="6" t="s">
        <v>5</v>
      </c>
      <c r="F101" s="1">
        <v>0.4</v>
      </c>
      <c r="G101" s="1">
        <v>0.6</v>
      </c>
      <c r="H101" s="1">
        <v>-7.3</v>
      </c>
      <c r="I101" s="1">
        <v>0.26</v>
      </c>
      <c r="J101" s="1">
        <v>-32.799999999999997</v>
      </c>
      <c r="K101" s="1">
        <v>-25</v>
      </c>
      <c r="L101" s="1">
        <v>43.3</v>
      </c>
      <c r="M101" s="1">
        <v>1.4</v>
      </c>
      <c r="N101" s="1">
        <v>406</v>
      </c>
      <c r="Q101" t="s">
        <v>2701</v>
      </c>
      <c r="R101" s="3" t="s">
        <v>5</v>
      </c>
    </row>
    <row r="102" spans="1:18">
      <c r="A102" t="s">
        <v>1774</v>
      </c>
      <c r="B102" s="8" t="s">
        <v>1772</v>
      </c>
      <c r="C102" t="s">
        <v>1773</v>
      </c>
      <c r="D102" s="7" t="s">
        <v>1771</v>
      </c>
      <c r="E102" s="1">
        <v>0.13</v>
      </c>
      <c r="F102" s="1">
        <v>0.6</v>
      </c>
      <c r="G102" s="1">
        <v>9.6</v>
      </c>
      <c r="I102" s="1">
        <v>2.9</v>
      </c>
      <c r="L102" s="1">
        <v>20</v>
      </c>
      <c r="Q102" t="s">
        <v>2702</v>
      </c>
      <c r="R102" s="3" t="s">
        <v>5</v>
      </c>
    </row>
    <row r="103" spans="1:18">
      <c r="A103" t="s">
        <v>1788</v>
      </c>
      <c r="B103" s="8" t="s">
        <v>1791</v>
      </c>
      <c r="C103" t="s">
        <v>1792</v>
      </c>
      <c r="D103" s="7" t="s">
        <v>1790</v>
      </c>
      <c r="E103" s="1">
        <v>0.15</v>
      </c>
      <c r="F103" s="1">
        <v>39</v>
      </c>
      <c r="G103" s="1">
        <v>20.5</v>
      </c>
      <c r="H103" s="1">
        <v>-9</v>
      </c>
      <c r="I103" s="1">
        <v>2.8</v>
      </c>
      <c r="J103" s="1">
        <v>-20.6</v>
      </c>
      <c r="K103" s="1">
        <v>-11.6</v>
      </c>
      <c r="L103" s="1">
        <v>26.5</v>
      </c>
      <c r="M103" s="1">
        <v>4.5</v>
      </c>
      <c r="N103" s="1">
        <v>207</v>
      </c>
      <c r="P103" s="1">
        <v>1.06</v>
      </c>
      <c r="Q103" t="s">
        <v>2703</v>
      </c>
      <c r="R103" s="3" t="s">
        <v>5</v>
      </c>
    </row>
    <row r="104" spans="1:18">
      <c r="A104" s="3" t="s">
        <v>2783</v>
      </c>
      <c r="B104" s="8" t="s">
        <v>2784</v>
      </c>
      <c r="C104" t="s">
        <v>2785</v>
      </c>
      <c r="D104" s="7" t="s">
        <v>2786</v>
      </c>
      <c r="E104" s="1">
        <v>7.0000000000000007E-2</v>
      </c>
      <c r="F104" s="1">
        <v>9</v>
      </c>
      <c r="G104" s="1">
        <v>61.5</v>
      </c>
      <c r="H104" s="1">
        <v>-10</v>
      </c>
      <c r="I104" s="1">
        <v>1.8</v>
      </c>
      <c r="J104" s="1">
        <v>-19.8</v>
      </c>
      <c r="L104" s="1">
        <v>23</v>
      </c>
      <c r="N104" s="1">
        <v>54</v>
      </c>
      <c r="O104" s="1">
        <v>6</v>
      </c>
      <c r="Q104" s="4" t="s">
        <v>2787</v>
      </c>
    </row>
    <row r="105" spans="1:18">
      <c r="A105" s="3" t="s">
        <v>2798</v>
      </c>
      <c r="B105" s="8" t="s">
        <v>2799</v>
      </c>
      <c r="C105" t="s">
        <v>2800</v>
      </c>
      <c r="D105" s="7" t="s">
        <v>2801</v>
      </c>
      <c r="E105" s="1">
        <v>0.02</v>
      </c>
      <c r="F105" s="1">
        <v>54</v>
      </c>
      <c r="G105" s="1">
        <v>85</v>
      </c>
      <c r="H105" s="1">
        <v>-5</v>
      </c>
      <c r="I105" s="1">
        <v>2.9</v>
      </c>
      <c r="L105" s="1">
        <v>18</v>
      </c>
      <c r="N105" s="1">
        <v>51.6</v>
      </c>
      <c r="P105" s="1">
        <v>1.5</v>
      </c>
      <c r="Q105" s="83" t="s">
        <v>2802</v>
      </c>
    </row>
    <row r="106" spans="1:18">
      <c r="E106" s="1">
        <v>0.02</v>
      </c>
      <c r="F106" s="1">
        <v>68</v>
      </c>
      <c r="G106" s="1">
        <v>93</v>
      </c>
      <c r="H106" s="1">
        <v>-5</v>
      </c>
      <c r="I106" s="1">
        <v>3.1</v>
      </c>
      <c r="L106" s="1">
        <v>20.3</v>
      </c>
      <c r="N106" s="1">
        <v>33.299999999999997</v>
      </c>
      <c r="P106" s="1">
        <v>1.5</v>
      </c>
    </row>
    <row r="107" spans="1:18">
      <c r="E107" s="1">
        <v>0.02</v>
      </c>
      <c r="F107" s="1">
        <v>45</v>
      </c>
      <c r="G107" s="1">
        <v>78</v>
      </c>
      <c r="H107" s="1">
        <v>-5</v>
      </c>
      <c r="I107" s="1">
        <v>2.2999999999999998</v>
      </c>
      <c r="L107" s="1">
        <v>22.5</v>
      </c>
      <c r="N107" s="1">
        <v>69.7</v>
      </c>
      <c r="P107" s="1">
        <v>1.5</v>
      </c>
    </row>
    <row r="108" spans="1:18">
      <c r="E108" s="1">
        <v>0.02</v>
      </c>
      <c r="F108" s="1">
        <v>39</v>
      </c>
      <c r="G108" s="1">
        <v>79.5</v>
      </c>
      <c r="H108" s="1">
        <v>-5</v>
      </c>
      <c r="I108" s="1">
        <v>2.5</v>
      </c>
      <c r="L108" s="1">
        <v>22.5</v>
      </c>
      <c r="N108" s="1">
        <v>29.5</v>
      </c>
      <c r="P108" s="1">
        <v>1.5</v>
      </c>
    </row>
    <row r="109" spans="1:18">
      <c r="A109" s="3" t="s">
        <v>2798</v>
      </c>
      <c r="B109" t="s">
        <v>2803</v>
      </c>
      <c r="C109" t="s">
        <v>2804</v>
      </c>
      <c r="D109" t="s">
        <v>2805</v>
      </c>
      <c r="E109" s="1">
        <v>0.09</v>
      </c>
      <c r="F109" s="1">
        <v>5</v>
      </c>
      <c r="G109" s="1">
        <v>20</v>
      </c>
      <c r="H109" s="1">
        <v>-10</v>
      </c>
      <c r="I109" s="1">
        <v>1.1000000000000001</v>
      </c>
      <c r="J109" s="1">
        <v>-12.9</v>
      </c>
      <c r="L109" s="1">
        <v>23.9</v>
      </c>
      <c r="M109" s="1">
        <v>2</v>
      </c>
      <c r="N109" s="1">
        <v>66</v>
      </c>
      <c r="P109" s="1">
        <v>2.6</v>
      </c>
      <c r="Q109" s="4" t="s">
        <v>2806</v>
      </c>
    </row>
    <row r="110" spans="1:18">
      <c r="A110" s="50" t="s">
        <v>2926</v>
      </c>
      <c r="B110" t="s">
        <v>2869</v>
      </c>
      <c r="C110" t="s">
        <v>2870</v>
      </c>
      <c r="D110" t="s">
        <v>2871</v>
      </c>
      <c r="E110" s="1">
        <v>0.1</v>
      </c>
      <c r="F110" s="1">
        <v>4.5999999999999996</v>
      </c>
      <c r="G110" s="1">
        <v>28</v>
      </c>
      <c r="H110" s="1">
        <v>-10</v>
      </c>
      <c r="I110" s="1">
        <v>2.4</v>
      </c>
      <c r="J110" s="1">
        <v>-18.3</v>
      </c>
      <c r="K110" s="1">
        <v>-8.8000000000000007</v>
      </c>
      <c r="L110" s="1">
        <v>25.1</v>
      </c>
      <c r="M110" s="1">
        <v>1</v>
      </c>
      <c r="N110" s="1">
        <v>74</v>
      </c>
      <c r="O110" s="1">
        <v>1.6</v>
      </c>
      <c r="Q110" s="4" t="s">
        <v>2872</v>
      </c>
    </row>
    <row r="111" spans="1:18">
      <c r="E111" s="1">
        <v>0.1</v>
      </c>
      <c r="F111" s="1">
        <v>3</v>
      </c>
      <c r="G111" s="1">
        <v>39</v>
      </c>
      <c r="H111" s="1">
        <v>-10</v>
      </c>
      <c r="I111" s="1">
        <v>2.8</v>
      </c>
      <c r="J111" s="1">
        <v>-17</v>
      </c>
      <c r="K111" s="1">
        <v>-8.5</v>
      </c>
      <c r="L111" s="1">
        <v>27.7</v>
      </c>
      <c r="M111" s="1">
        <v>1</v>
      </c>
      <c r="N111" s="1">
        <v>74</v>
      </c>
      <c r="O111" s="1">
        <v>1.6</v>
      </c>
      <c r="Q111" s="4" t="s">
        <v>3077</v>
      </c>
    </row>
    <row r="112" spans="1:18">
      <c r="A112" t="s">
        <v>3104</v>
      </c>
      <c r="B112" t="s">
        <v>3073</v>
      </c>
      <c r="C112" t="s">
        <v>3074</v>
      </c>
      <c r="D112" t="s">
        <v>3075</v>
      </c>
      <c r="E112" s="1" t="s">
        <v>3076</v>
      </c>
      <c r="F112" s="1">
        <v>2.4</v>
      </c>
      <c r="G112" s="1">
        <v>25.7</v>
      </c>
      <c r="H112" s="1">
        <v>-6</v>
      </c>
      <c r="I112" s="1">
        <v>1</v>
      </c>
      <c r="J112" s="1">
        <v>-21.4</v>
      </c>
      <c r="L112" s="1">
        <v>27.7</v>
      </c>
      <c r="M112" s="1">
        <v>2</v>
      </c>
      <c r="N112" s="1">
        <v>20</v>
      </c>
      <c r="Q112" s="4" t="s">
        <v>3077</v>
      </c>
    </row>
    <row r="113" spans="1:17">
      <c r="A113" t="s">
        <v>3253</v>
      </c>
      <c r="B113" t="s">
        <v>3258</v>
      </c>
      <c r="C113" t="s">
        <v>3259</v>
      </c>
      <c r="D113" t="s">
        <v>3260</v>
      </c>
      <c r="E113" s="1">
        <v>0.1</v>
      </c>
      <c r="F113" s="1">
        <v>17.8</v>
      </c>
      <c r="G113" s="1">
        <v>27.6</v>
      </c>
      <c r="I113" s="1">
        <v>1.5</v>
      </c>
      <c r="J113" s="1">
        <v>2.1</v>
      </c>
      <c r="K113" s="1">
        <v>6.7</v>
      </c>
      <c r="L113" s="1">
        <v>15.9</v>
      </c>
      <c r="M113" s="1">
        <v>2</v>
      </c>
      <c r="N113" s="1">
        <v>66</v>
      </c>
      <c r="P113" s="1">
        <v>0.96</v>
      </c>
      <c r="Q113" s="4" t="s">
        <v>3261</v>
      </c>
    </row>
    <row r="114" spans="1:17">
      <c r="A114" t="s">
        <v>3270</v>
      </c>
      <c r="B114" t="s">
        <v>3284</v>
      </c>
      <c r="C114" t="s">
        <v>3285</v>
      </c>
      <c r="D114" t="s">
        <v>3286</v>
      </c>
      <c r="E114" s="1">
        <v>0.15</v>
      </c>
      <c r="F114" s="1">
        <v>33</v>
      </c>
      <c r="G114" s="1">
        <v>26.5</v>
      </c>
      <c r="H114" s="1">
        <v>-4</v>
      </c>
      <c r="I114" s="1">
        <v>2.4</v>
      </c>
      <c r="J114" s="1">
        <v>-12.3</v>
      </c>
      <c r="K114" s="1">
        <v>-3.1</v>
      </c>
      <c r="L114" s="1">
        <v>24.6</v>
      </c>
      <c r="M114" s="1">
        <v>2</v>
      </c>
      <c r="N114" s="1">
        <v>110</v>
      </c>
      <c r="P114" s="1">
        <v>1.05</v>
      </c>
      <c r="Q114" s="4" t="s">
        <v>3287</v>
      </c>
    </row>
    <row r="115" spans="1:17">
      <c r="A115" t="s">
        <v>3325</v>
      </c>
      <c r="B115" t="s">
        <v>3339</v>
      </c>
      <c r="C115" t="s">
        <v>3340</v>
      </c>
      <c r="D115" t="s">
        <v>3341</v>
      </c>
      <c r="E115" s="1">
        <v>0.15</v>
      </c>
      <c r="F115" s="1">
        <v>23.5</v>
      </c>
      <c r="G115" s="1">
        <v>12.25</v>
      </c>
      <c r="H115" s="1">
        <v>-7</v>
      </c>
      <c r="I115" s="1">
        <v>1.7</v>
      </c>
      <c r="J115" s="1">
        <v>-13.2</v>
      </c>
      <c r="L115" s="1">
        <v>24.7</v>
      </c>
      <c r="N115" s="1">
        <v>212</v>
      </c>
      <c r="O115" s="1">
        <v>1.47</v>
      </c>
      <c r="Q115" s="4" t="s">
        <v>3342</v>
      </c>
    </row>
    <row r="116" spans="1:17">
      <c r="A116" t="s">
        <v>3395</v>
      </c>
      <c r="B116" t="s">
        <v>3363</v>
      </c>
      <c r="C116" t="s">
        <v>3364</v>
      </c>
      <c r="D116" t="s">
        <v>3365</v>
      </c>
      <c r="E116" s="1">
        <v>0.15</v>
      </c>
      <c r="F116" s="1">
        <v>15</v>
      </c>
      <c r="G116" s="1">
        <v>13.5</v>
      </c>
      <c r="H116" s="1">
        <v>-13</v>
      </c>
      <c r="I116" s="1">
        <v>1.03</v>
      </c>
      <c r="J116" s="1">
        <v>-10.199999999999999</v>
      </c>
      <c r="K116" s="1">
        <v>-2</v>
      </c>
      <c r="L116" s="1">
        <v>23.8</v>
      </c>
      <c r="M116" s="1">
        <v>5</v>
      </c>
      <c r="N116" s="1">
        <v>135</v>
      </c>
      <c r="P116" s="1">
        <v>1.04</v>
      </c>
      <c r="Q116" s="4" t="s">
        <v>3366</v>
      </c>
    </row>
    <row r="117" spans="1:17">
      <c r="A117" t="s">
        <v>3492</v>
      </c>
      <c r="B117" t="s">
        <v>3560</v>
      </c>
      <c r="C117" t="s">
        <v>3561</v>
      </c>
      <c r="D117" t="s">
        <v>3562</v>
      </c>
      <c r="E117" s="1">
        <v>0.5</v>
      </c>
      <c r="F117" s="1">
        <v>1</v>
      </c>
      <c r="G117" s="1">
        <v>4.7</v>
      </c>
      <c r="H117" s="1">
        <v>-10</v>
      </c>
      <c r="I117" s="1">
        <v>0.57999999999999996</v>
      </c>
      <c r="J117" s="1">
        <v>-23.5</v>
      </c>
      <c r="K117" s="1">
        <v>-8.5</v>
      </c>
      <c r="L117" s="1">
        <v>27.6</v>
      </c>
      <c r="M117" s="1">
        <v>1.2</v>
      </c>
      <c r="N117" s="1">
        <v>45.6</v>
      </c>
      <c r="P117" s="1">
        <v>1.55</v>
      </c>
      <c r="Q117" s="4" t="s">
        <v>3563</v>
      </c>
    </row>
    <row r="118" spans="1:17" ht="18">
      <c r="A118" t="s">
        <v>3515</v>
      </c>
      <c r="B118" t="s">
        <v>3541</v>
      </c>
      <c r="C118" t="s">
        <v>3542</v>
      </c>
      <c r="D118" t="s">
        <v>3543</v>
      </c>
      <c r="E118" s="1">
        <v>0.15</v>
      </c>
      <c r="F118" s="1">
        <v>8</v>
      </c>
      <c r="G118" s="1">
        <v>14</v>
      </c>
      <c r="H118" s="1">
        <v>-12</v>
      </c>
      <c r="I118" s="1">
        <v>0.45</v>
      </c>
      <c r="J118" s="1">
        <v>-16.75</v>
      </c>
      <c r="K118" s="1">
        <v>-5.07</v>
      </c>
      <c r="L118" s="1">
        <v>27.25</v>
      </c>
      <c r="M118" s="1">
        <v>5</v>
      </c>
      <c r="N118" s="1">
        <v>125</v>
      </c>
      <c r="P118" s="1">
        <v>1.21</v>
      </c>
      <c r="Q118" s="4" t="s">
        <v>3544</v>
      </c>
    </row>
    <row r="119" spans="1:17">
      <c r="A119" t="s">
        <v>3400</v>
      </c>
      <c r="B119" t="s">
        <v>3507</v>
      </c>
      <c r="C119" t="s">
        <v>3508</v>
      </c>
      <c r="D119" t="s">
        <v>3509</v>
      </c>
      <c r="E119" s="1">
        <v>0.15</v>
      </c>
      <c r="F119" s="1">
        <v>6</v>
      </c>
      <c r="G119" s="1">
        <v>10</v>
      </c>
      <c r="H119" s="1">
        <v>-13</v>
      </c>
      <c r="I119" s="1">
        <v>0.67</v>
      </c>
      <c r="J119" s="1">
        <v>-23.2</v>
      </c>
      <c r="L119" s="1">
        <v>35.9</v>
      </c>
      <c r="M119" s="1">
        <v>5</v>
      </c>
      <c r="N119" s="1">
        <v>217.4</v>
      </c>
      <c r="P119" s="1">
        <v>1.4</v>
      </c>
      <c r="Q119" t="s">
        <v>3510</v>
      </c>
    </row>
    <row r="120" spans="1:17" ht="18">
      <c r="A120" t="s">
        <v>3524</v>
      </c>
      <c r="B120" t="s">
        <v>3525</v>
      </c>
      <c r="C120" t="s">
        <v>3527</v>
      </c>
      <c r="D120" t="s">
        <v>3528</v>
      </c>
      <c r="E120" s="1" t="s">
        <v>3076</v>
      </c>
      <c r="F120" s="1">
        <v>6</v>
      </c>
      <c r="G120" s="1">
        <v>20.7</v>
      </c>
      <c r="I120" s="1">
        <v>0.64</v>
      </c>
      <c r="J120" s="1">
        <v>-9</v>
      </c>
      <c r="L120" s="1">
        <v>24.6</v>
      </c>
      <c r="N120" s="1">
        <v>20</v>
      </c>
      <c r="Q120" t="s">
        <v>3526</v>
      </c>
    </row>
    <row r="121" spans="1:17">
      <c r="A121" t="s">
        <v>3524</v>
      </c>
      <c r="B121" t="s">
        <v>3529</v>
      </c>
      <c r="C121" t="s">
        <v>3530</v>
      </c>
      <c r="D121" t="s">
        <v>3531</v>
      </c>
      <c r="E121" s="1">
        <v>0.15</v>
      </c>
      <c r="F121" s="1">
        <v>18</v>
      </c>
      <c r="G121" s="1">
        <v>15</v>
      </c>
      <c r="H121" s="1">
        <v>-9</v>
      </c>
      <c r="I121" s="1">
        <v>0.71</v>
      </c>
      <c r="J121" s="1">
        <v>-17.899999999999999</v>
      </c>
      <c r="K121" s="1">
        <v>-3.6</v>
      </c>
      <c r="L121" s="1">
        <v>27.1</v>
      </c>
      <c r="M121" s="1">
        <v>5</v>
      </c>
      <c r="N121" s="1">
        <v>130</v>
      </c>
      <c r="P121" s="1">
        <v>1.04</v>
      </c>
      <c r="Q121" t="s">
        <v>3532</v>
      </c>
    </row>
    <row r="122" spans="1:17">
      <c r="A122" t="s">
        <v>3581</v>
      </c>
      <c r="B122" t="s">
        <v>3552</v>
      </c>
      <c r="C122" t="s">
        <v>3553</v>
      </c>
      <c r="D122" t="s">
        <v>3554</v>
      </c>
      <c r="E122" s="1">
        <v>0.09</v>
      </c>
      <c r="F122" s="1">
        <v>18</v>
      </c>
      <c r="H122" s="1">
        <v>-10</v>
      </c>
      <c r="I122" s="1">
        <v>1.3</v>
      </c>
      <c r="J122" s="1">
        <v>-9.5</v>
      </c>
      <c r="K122" s="1">
        <v>-2</v>
      </c>
      <c r="L122" s="1">
        <v>25</v>
      </c>
      <c r="M122" s="1">
        <v>5</v>
      </c>
      <c r="N122" s="1">
        <v>335</v>
      </c>
      <c r="P122" s="1">
        <v>1.53</v>
      </c>
      <c r="Q122" t="s">
        <v>3555</v>
      </c>
    </row>
    <row r="123" spans="1:17">
      <c r="A123" t="s">
        <v>3581</v>
      </c>
      <c r="B123" t="s">
        <v>3568</v>
      </c>
      <c r="C123" t="s">
        <v>3569</v>
      </c>
      <c r="D123" t="s">
        <v>3570</v>
      </c>
      <c r="E123" s="1">
        <v>0.15</v>
      </c>
      <c r="F123" s="1">
        <v>1</v>
      </c>
      <c r="G123" s="1">
        <v>3.3</v>
      </c>
      <c r="H123" s="1">
        <v>-10</v>
      </c>
      <c r="I123" s="1">
        <v>1</v>
      </c>
      <c r="J123" s="1">
        <v>-26</v>
      </c>
      <c r="L123" s="1">
        <v>35.5</v>
      </c>
      <c r="M123" s="1">
        <v>1.5</v>
      </c>
      <c r="N123" s="1">
        <v>87</v>
      </c>
      <c r="P123" s="1">
        <v>3.2</v>
      </c>
      <c r="Q123" t="s">
        <v>3571</v>
      </c>
    </row>
    <row r="124" spans="1:17">
      <c r="A124" t="s">
        <v>3587</v>
      </c>
      <c r="B124" t="s">
        <v>3705</v>
      </c>
      <c r="C124" t="s">
        <v>2842</v>
      </c>
      <c r="D124" t="s">
        <v>3706</v>
      </c>
      <c r="E124" s="1">
        <v>3.5000000000000003E-2</v>
      </c>
      <c r="F124" s="1">
        <v>105</v>
      </c>
      <c r="G124" s="1">
        <v>212.5</v>
      </c>
      <c r="H124" s="1">
        <v>-10</v>
      </c>
      <c r="I124" s="1">
        <v>3.8</v>
      </c>
      <c r="L124" s="1">
        <v>23.6</v>
      </c>
      <c r="M124" s="1">
        <v>1.4</v>
      </c>
      <c r="P124" s="1">
        <v>1.125</v>
      </c>
      <c r="Q124" s="4" t="s">
        <v>3707</v>
      </c>
    </row>
    <row r="125" spans="1:17">
      <c r="E125" s="1">
        <v>3.5000000000000003E-2</v>
      </c>
      <c r="F125" s="1">
        <v>110</v>
      </c>
      <c r="G125" s="1">
        <v>275</v>
      </c>
      <c r="H125" s="1">
        <v>-10</v>
      </c>
      <c r="I125" s="1">
        <v>3.6</v>
      </c>
      <c r="L125" s="1">
        <v>24.4</v>
      </c>
      <c r="M125" s="1">
        <v>1.4</v>
      </c>
      <c r="P125" s="1">
        <v>1.125</v>
      </c>
    </row>
    <row r="126" spans="1:17">
      <c r="A126" t="s">
        <v>3524</v>
      </c>
      <c r="B126" t="s">
        <v>3529</v>
      </c>
      <c r="C126" t="s">
        <v>3530</v>
      </c>
      <c r="D126" t="s">
        <v>3531</v>
      </c>
      <c r="E126" s="1">
        <v>0.15</v>
      </c>
      <c r="F126" s="1">
        <v>18</v>
      </c>
      <c r="G126" s="1">
        <v>15</v>
      </c>
      <c r="H126" s="1">
        <v>-9</v>
      </c>
      <c r="I126" s="1">
        <v>0.71</v>
      </c>
      <c r="J126" s="1">
        <v>-13</v>
      </c>
      <c r="K126" s="1">
        <v>-2.8</v>
      </c>
      <c r="L126" s="1">
        <v>27.1</v>
      </c>
      <c r="M126" s="1">
        <v>5</v>
      </c>
      <c r="N126" s="1">
        <v>130</v>
      </c>
      <c r="P126" s="1">
        <v>1.04</v>
      </c>
      <c r="Q126" t="s">
        <v>3532</v>
      </c>
    </row>
    <row r="127" spans="1:17">
      <c r="A127" t="s">
        <v>2506</v>
      </c>
      <c r="B127" t="s">
        <v>3738</v>
      </c>
      <c r="C127" t="s">
        <v>3739</v>
      </c>
      <c r="D127" t="s">
        <v>3740</v>
      </c>
      <c r="E127" s="1">
        <v>0.15</v>
      </c>
      <c r="F127" s="1">
        <v>27.7</v>
      </c>
      <c r="G127" s="1">
        <v>14.15</v>
      </c>
      <c r="H127" s="1">
        <v>-15</v>
      </c>
      <c r="I127" s="1">
        <v>1.2</v>
      </c>
      <c r="J127" s="1">
        <v>0</v>
      </c>
      <c r="L127" s="1">
        <v>17.5</v>
      </c>
      <c r="M127" s="1">
        <v>7.5</v>
      </c>
      <c r="N127" s="1">
        <v>504</v>
      </c>
      <c r="P127" s="1">
        <v>4.03</v>
      </c>
      <c r="Q127" t="s">
        <v>3741</v>
      </c>
    </row>
    <row r="128" spans="1:17">
      <c r="A128" t="s">
        <v>2506</v>
      </c>
      <c r="B128" t="s">
        <v>3998</v>
      </c>
      <c r="C128" t="s">
        <v>3999</v>
      </c>
      <c r="D128" t="s">
        <v>4000</v>
      </c>
      <c r="E128" s="1">
        <v>0.25</v>
      </c>
      <c r="F128" s="1">
        <v>14</v>
      </c>
      <c r="G128" s="1">
        <v>8</v>
      </c>
      <c r="H128" s="1">
        <v>-8</v>
      </c>
      <c r="I128" s="1">
        <v>1.3</v>
      </c>
      <c r="J128" s="1">
        <v>-13.1</v>
      </c>
      <c r="L128" s="1">
        <v>17.7</v>
      </c>
      <c r="M128" s="1">
        <v>1.8</v>
      </c>
      <c r="N128" s="1">
        <v>39.67</v>
      </c>
      <c r="P128" s="1">
        <v>0.92</v>
      </c>
      <c r="Q128" t="s">
        <v>4001</v>
      </c>
    </row>
    <row r="129" spans="1:17">
      <c r="A129" t="s">
        <v>3963</v>
      </c>
      <c r="B129" t="s">
        <v>4002</v>
      </c>
      <c r="C129" t="s">
        <v>4003</v>
      </c>
      <c r="D129" t="s">
        <v>4004</v>
      </c>
      <c r="E129" s="1">
        <v>0.1</v>
      </c>
      <c r="F129" s="1">
        <v>23</v>
      </c>
      <c r="G129" s="1">
        <v>103.5</v>
      </c>
      <c r="H129" s="1">
        <v>-11</v>
      </c>
      <c r="I129" s="1">
        <v>4.0999999999999996</v>
      </c>
      <c r="K129" s="1">
        <v>-7</v>
      </c>
      <c r="L129" s="1">
        <v>20</v>
      </c>
      <c r="M129" s="1">
        <v>2.5</v>
      </c>
      <c r="N129" s="1">
        <v>100</v>
      </c>
      <c r="Q129" t="s">
        <v>4005</v>
      </c>
    </row>
    <row r="130" spans="1:17">
      <c r="A130" t="s">
        <v>3959</v>
      </c>
      <c r="B130" t="s">
        <v>4031</v>
      </c>
      <c r="C130" t="s">
        <v>4032</v>
      </c>
      <c r="D130" t="s">
        <v>4033</v>
      </c>
      <c r="E130" s="1">
        <v>0.25</v>
      </c>
      <c r="F130" s="1">
        <v>4</v>
      </c>
      <c r="G130" s="1">
        <v>5.4</v>
      </c>
      <c r="H130" s="1">
        <v>-10</v>
      </c>
      <c r="I130" s="1">
        <v>1.65</v>
      </c>
      <c r="J130" s="1">
        <v>7</v>
      </c>
      <c r="K130" s="1">
        <v>12.1</v>
      </c>
      <c r="L130" s="1">
        <v>13.7</v>
      </c>
      <c r="M130" s="1">
        <v>5</v>
      </c>
      <c r="N130" s="1">
        <v>97</v>
      </c>
      <c r="P130" s="1">
        <v>1.53</v>
      </c>
      <c r="Q130" t="s">
        <v>4030</v>
      </c>
    </row>
    <row r="131" spans="1:17">
      <c r="A131" t="s">
        <v>2506</v>
      </c>
      <c r="B131" t="s">
        <v>4034</v>
      </c>
      <c r="C131" t="s">
        <v>4035</v>
      </c>
      <c r="D131" t="s">
        <v>4036</v>
      </c>
      <c r="E131" s="1">
        <v>0.1</v>
      </c>
      <c r="F131" s="1">
        <v>24</v>
      </c>
      <c r="G131" s="1">
        <v>29</v>
      </c>
      <c r="H131" s="1">
        <v>-1</v>
      </c>
      <c r="I131" s="1">
        <v>1.5</v>
      </c>
      <c r="L131" s="1">
        <v>24.5</v>
      </c>
      <c r="M131" s="1">
        <v>2</v>
      </c>
      <c r="N131" s="1">
        <v>60</v>
      </c>
      <c r="P131" s="1">
        <v>1.69</v>
      </c>
      <c r="Q131" t="s">
        <v>4037</v>
      </c>
    </row>
    <row r="132" spans="1:17">
      <c r="A132" t="s">
        <v>3972</v>
      </c>
      <c r="B132" t="s">
        <v>3738</v>
      </c>
      <c r="C132" t="s">
        <v>3739</v>
      </c>
      <c r="D132" t="s">
        <v>4042</v>
      </c>
      <c r="E132" s="1">
        <v>0.15</v>
      </c>
      <c r="F132" s="1">
        <v>27.7</v>
      </c>
      <c r="G132" s="1">
        <v>14.15</v>
      </c>
      <c r="H132" s="1">
        <v>-10</v>
      </c>
      <c r="I132" s="1">
        <v>1.2</v>
      </c>
      <c r="J132" s="1">
        <v>-3.5</v>
      </c>
      <c r="K132" s="1">
        <v>10.6</v>
      </c>
      <c r="L132" s="1">
        <v>17.5</v>
      </c>
      <c r="M132" s="1">
        <v>7.5</v>
      </c>
      <c r="N132" s="1">
        <v>504</v>
      </c>
      <c r="P132" s="1">
        <v>4.03</v>
      </c>
      <c r="Q132" t="s">
        <v>3741</v>
      </c>
    </row>
  </sheetData>
  <phoneticPr fontId="18" type="noConversion"/>
  <hyperlinks>
    <hyperlink ref="Q32" r:id="rId1" display="https://ieeexplore-ieee-org/document/9218343" xr:uid="{00000000-0004-0000-0200-000000000000}"/>
    <hyperlink ref="Q104" r:id="rId2" xr:uid="{00000000-0004-0000-0200-000001000000}"/>
    <hyperlink ref="Q105" r:id="rId3" xr:uid="{00000000-0004-0000-0200-000002000000}"/>
    <hyperlink ref="Q109" r:id="rId4" xr:uid="{00000000-0004-0000-0200-000003000000}"/>
    <hyperlink ref="Q23" r:id="rId5" xr:uid="{00000000-0004-0000-0200-000004000000}"/>
    <hyperlink ref="Q13" r:id="rId6" xr:uid="{00000000-0004-0000-0200-000005000000}"/>
    <hyperlink ref="Q110" r:id="rId7" xr:uid="{00000000-0004-0000-0200-000006000000}"/>
    <hyperlink ref="Q14" r:id="rId8" xr:uid="{00000000-0004-0000-0200-000007000000}"/>
    <hyperlink ref="Q111" r:id="rId9" xr:uid="{00000000-0004-0000-0200-000008000000}"/>
    <hyperlink ref="Q113" r:id="rId10" xr:uid="{7835C05A-5E78-4C2A-AF51-0CE095CF09A1}"/>
    <hyperlink ref="Q112" r:id="rId11" xr:uid="{15685A09-4C6A-42BC-91DC-4D3AF5C25D52}"/>
    <hyperlink ref="Q114" r:id="rId12" xr:uid="{18A0CACD-8CE5-4969-B76F-FE228E3C5AAA}"/>
    <hyperlink ref="Q15" r:id="rId13" xr:uid="{E11BC388-0D04-4901-88F1-7441775C6B19}"/>
    <hyperlink ref="Q115" r:id="rId14" xr:uid="{722D0F3C-3739-45C2-8FF7-EEAD74804306}"/>
    <hyperlink ref="Q116" r:id="rId15" xr:uid="{6BD7FDB3-E799-4B87-94D6-4D7344852688}"/>
    <hyperlink ref="Q124" r:id="rId16" xr:uid="{7DE4D1F3-EAAA-4665-AF4A-F0D94C5FF2ED}"/>
    <hyperlink ref="Q17" r:id="rId17" xr:uid="{22D305F6-11F5-4679-A886-D99C44ACC759}"/>
  </hyperlinks>
  <pageMargins left="0.7" right="0.7" top="0.75" bottom="0.75" header="0.3" footer="0.3"/>
  <pageSetup orientation="portrait" r:id="rId18"/>
  <legacyDrawing r:id="rId1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30"/>
  <sheetViews>
    <sheetView workbookViewId="0">
      <pane ySplit="1" topLeftCell="A105" activePane="bottomLeft" state="frozen"/>
      <selection pane="bottomLeft" activeCell="P130" sqref="P130"/>
    </sheetView>
  </sheetViews>
  <sheetFormatPr defaultRowHeight="15"/>
  <cols>
    <col min="1" max="1" width="10.7109375" bestFit="1" customWidth="1"/>
    <col min="6" max="9" width="9.140625" style="1"/>
    <col min="10" max="10" width="12" style="1" customWidth="1"/>
    <col min="11" max="11" width="14.85546875" style="1" bestFit="1" customWidth="1"/>
    <col min="12" max="12" width="17" style="1" bestFit="1" customWidth="1"/>
    <col min="13" max="19" width="9.140625" style="1"/>
  </cols>
  <sheetData>
    <row r="1" spans="1:21" ht="15.75">
      <c r="A1" s="41" t="s">
        <v>0</v>
      </c>
      <c r="B1" s="42" t="s">
        <v>1</v>
      </c>
      <c r="C1" s="42" t="s">
        <v>2</v>
      </c>
      <c r="D1" s="42" t="s">
        <v>3</v>
      </c>
      <c r="E1" s="42" t="s">
        <v>2576</v>
      </c>
      <c r="F1" s="57" t="s">
        <v>2577</v>
      </c>
      <c r="G1" s="57" t="s">
        <v>6</v>
      </c>
      <c r="H1" s="57" t="s">
        <v>1867</v>
      </c>
      <c r="I1" s="57" t="s">
        <v>10</v>
      </c>
      <c r="J1" s="57" t="s">
        <v>2273</v>
      </c>
      <c r="K1" s="57" t="s">
        <v>2274</v>
      </c>
      <c r="L1" s="57" t="s">
        <v>2583</v>
      </c>
      <c r="M1" s="57" t="s">
        <v>7</v>
      </c>
      <c r="N1" s="57" t="s">
        <v>21</v>
      </c>
      <c r="O1" s="57" t="s">
        <v>8</v>
      </c>
      <c r="P1" s="57" t="s">
        <v>1109</v>
      </c>
      <c r="Q1" s="57" t="s">
        <v>335</v>
      </c>
      <c r="R1" s="57" t="s">
        <v>149</v>
      </c>
      <c r="S1" s="57" t="s">
        <v>148</v>
      </c>
      <c r="T1" s="42" t="s">
        <v>4</v>
      </c>
    </row>
    <row r="2" spans="1:21" ht="15.75">
      <c r="A2" s="41" t="s">
        <v>416</v>
      </c>
      <c r="B2" s="42"/>
      <c r="C2" s="42"/>
      <c r="D2" s="42"/>
      <c r="E2" s="42"/>
      <c r="F2" s="57"/>
      <c r="G2" s="57"/>
      <c r="H2" s="57"/>
      <c r="I2" s="57"/>
      <c r="J2" s="57"/>
      <c r="K2" s="57"/>
      <c r="L2" s="57"/>
      <c r="M2" s="57"/>
      <c r="N2" s="57"/>
      <c r="O2" s="57"/>
      <c r="P2" s="57"/>
      <c r="Q2" s="57"/>
      <c r="R2" s="57"/>
      <c r="S2" s="57"/>
      <c r="T2" s="42"/>
    </row>
    <row r="3" spans="1:21">
      <c r="A3" t="s">
        <v>2275</v>
      </c>
      <c r="B3" s="8" t="s">
        <v>2276</v>
      </c>
      <c r="C3" s="3" t="s">
        <v>2277</v>
      </c>
      <c r="D3" s="3" t="s">
        <v>2278</v>
      </c>
      <c r="E3" s="3" t="s">
        <v>2756</v>
      </c>
      <c r="F3" s="6">
        <v>0.1</v>
      </c>
      <c r="G3" s="1">
        <v>4.5999999999999996</v>
      </c>
      <c r="H3" s="1">
        <v>5.9</v>
      </c>
      <c r="J3" s="1">
        <v>31</v>
      </c>
      <c r="K3" s="1">
        <v>1.4</v>
      </c>
      <c r="L3" s="1">
        <v>15</v>
      </c>
      <c r="O3" s="1">
        <v>31</v>
      </c>
      <c r="P3" s="1">
        <v>1.1499999999999999</v>
      </c>
      <c r="Q3" s="1">
        <v>11.5</v>
      </c>
      <c r="T3" t="s">
        <v>2630</v>
      </c>
      <c r="U3" s="3" t="s">
        <v>5</v>
      </c>
    </row>
    <row r="4" spans="1:21">
      <c r="A4" t="s">
        <v>1800</v>
      </c>
      <c r="B4" s="8" t="s">
        <v>2279</v>
      </c>
      <c r="C4" t="s">
        <v>2280</v>
      </c>
      <c r="D4" t="s">
        <v>2281</v>
      </c>
      <c r="E4" s="3" t="s">
        <v>5</v>
      </c>
      <c r="F4" s="6" t="s">
        <v>5</v>
      </c>
      <c r="H4" s="1">
        <v>7.5</v>
      </c>
      <c r="J4" s="1">
        <v>87.5</v>
      </c>
      <c r="K4" s="1">
        <v>10</v>
      </c>
      <c r="L4" s="1">
        <v>4</v>
      </c>
      <c r="O4" s="1">
        <v>25</v>
      </c>
      <c r="S4" s="1">
        <v>1.5</v>
      </c>
      <c r="T4" t="s">
        <v>2631</v>
      </c>
      <c r="U4" s="3" t="s">
        <v>5</v>
      </c>
    </row>
    <row r="5" spans="1:21">
      <c r="A5" t="s">
        <v>2282</v>
      </c>
      <c r="B5" s="8" t="s">
        <v>2283</v>
      </c>
      <c r="C5" s="3" t="s">
        <v>2284</v>
      </c>
      <c r="D5" s="7" t="s">
        <v>2285</v>
      </c>
      <c r="E5" s="77" t="s">
        <v>5</v>
      </c>
      <c r="F5" s="6" t="s">
        <v>5</v>
      </c>
      <c r="G5" s="1">
        <v>3.5</v>
      </c>
      <c r="H5" s="1">
        <v>28.75</v>
      </c>
      <c r="K5" s="1">
        <v>7.5</v>
      </c>
      <c r="L5" s="1">
        <v>15</v>
      </c>
      <c r="O5" s="1">
        <v>37</v>
      </c>
      <c r="P5" s="1">
        <v>0.6</v>
      </c>
      <c r="Q5" s="1">
        <v>10.6</v>
      </c>
      <c r="T5" t="s">
        <v>2632</v>
      </c>
      <c r="U5" s="3" t="s">
        <v>5</v>
      </c>
    </row>
    <row r="6" spans="1:21">
      <c r="A6" t="s">
        <v>1832</v>
      </c>
      <c r="B6" s="8" t="s">
        <v>2286</v>
      </c>
      <c r="C6" s="3" t="s">
        <v>2287</v>
      </c>
      <c r="D6" s="7" t="s">
        <v>2288</v>
      </c>
      <c r="E6" s="77" t="s">
        <v>2578</v>
      </c>
      <c r="F6" s="6" t="s">
        <v>5</v>
      </c>
      <c r="G6" s="1">
        <v>0.75</v>
      </c>
      <c r="H6" s="1">
        <v>0.875</v>
      </c>
      <c r="J6" s="1">
        <v>60</v>
      </c>
      <c r="K6" s="1">
        <v>2.1</v>
      </c>
      <c r="L6" s="1">
        <v>15</v>
      </c>
      <c r="O6" s="1">
        <v>30</v>
      </c>
      <c r="T6" t="s">
        <v>2289</v>
      </c>
      <c r="U6" s="3" t="s">
        <v>5</v>
      </c>
    </row>
    <row r="7" spans="1:21">
      <c r="A7" t="s">
        <v>2290</v>
      </c>
      <c r="B7" s="8" t="s">
        <v>2291</v>
      </c>
      <c r="C7" s="3" t="s">
        <v>2292</v>
      </c>
      <c r="D7" s="7" t="s">
        <v>2293</v>
      </c>
      <c r="E7" s="7" t="s">
        <v>2578</v>
      </c>
      <c r="F7" s="6">
        <v>0.13</v>
      </c>
      <c r="G7" s="1">
        <v>2</v>
      </c>
      <c r="H7" s="1">
        <v>3</v>
      </c>
      <c r="I7" s="1">
        <v>-10</v>
      </c>
      <c r="K7" s="1">
        <v>13</v>
      </c>
      <c r="L7" s="1">
        <v>19</v>
      </c>
      <c r="O7" s="1">
        <v>17.5</v>
      </c>
      <c r="P7" s="1">
        <v>1.3</v>
      </c>
      <c r="Q7" s="1">
        <v>2</v>
      </c>
      <c r="S7" s="1">
        <v>0.50875000000000004</v>
      </c>
      <c r="T7" t="s">
        <v>2294</v>
      </c>
      <c r="U7" s="3" t="s">
        <v>1257</v>
      </c>
    </row>
    <row r="8" spans="1:21">
      <c r="E8" s="7" t="s">
        <v>2578</v>
      </c>
      <c r="F8" s="1">
        <v>0.13</v>
      </c>
      <c r="G8" s="1">
        <v>3.3</v>
      </c>
      <c r="H8" s="1">
        <v>2.35</v>
      </c>
      <c r="I8" s="1">
        <v>-10</v>
      </c>
      <c r="K8" s="1">
        <v>2</v>
      </c>
      <c r="L8" s="1">
        <v>19</v>
      </c>
      <c r="O8" s="1">
        <v>29</v>
      </c>
      <c r="P8" s="1">
        <v>1.4</v>
      </c>
      <c r="Q8" s="1">
        <v>8.3000000000000007</v>
      </c>
      <c r="S8" s="1">
        <v>0.52439999999999998</v>
      </c>
    </row>
    <row r="9" spans="1:21">
      <c r="E9" s="7" t="s">
        <v>2578</v>
      </c>
      <c r="F9" s="1">
        <v>0.13</v>
      </c>
      <c r="G9" s="1">
        <v>3.5</v>
      </c>
      <c r="H9" s="1">
        <v>2.25</v>
      </c>
      <c r="I9" s="1">
        <v>-6</v>
      </c>
      <c r="K9" s="1">
        <v>8</v>
      </c>
      <c r="L9" s="1">
        <v>22</v>
      </c>
      <c r="O9" s="1">
        <v>32.5</v>
      </c>
      <c r="Q9" s="1">
        <v>25.2</v>
      </c>
    </row>
    <row r="10" spans="1:21">
      <c r="A10" t="s">
        <v>1814</v>
      </c>
      <c r="B10" s="33" t="s">
        <v>2295</v>
      </c>
      <c r="C10" s="3" t="s">
        <v>2296</v>
      </c>
      <c r="D10" s="7" t="s">
        <v>2297</v>
      </c>
      <c r="E10" s="7" t="s">
        <v>2579</v>
      </c>
      <c r="F10" s="6">
        <v>0.1</v>
      </c>
      <c r="G10" s="1">
        <v>6.9</v>
      </c>
      <c r="H10" s="1">
        <v>8.35</v>
      </c>
      <c r="I10" s="1">
        <v>-10</v>
      </c>
      <c r="J10" s="1">
        <v>35</v>
      </c>
      <c r="K10" s="1">
        <v>4</v>
      </c>
      <c r="L10" s="1">
        <v>15</v>
      </c>
      <c r="O10" s="1">
        <v>33.299999999999997</v>
      </c>
      <c r="P10" s="1">
        <v>0.53</v>
      </c>
      <c r="Q10" s="1">
        <v>8</v>
      </c>
      <c r="T10" t="s">
        <v>2298</v>
      </c>
      <c r="U10" s="3" t="s">
        <v>2443</v>
      </c>
    </row>
    <row r="11" spans="1:21">
      <c r="E11" s="7" t="s">
        <v>2579</v>
      </c>
      <c r="F11" s="1">
        <v>0.1</v>
      </c>
      <c r="G11" s="1">
        <v>12.5</v>
      </c>
      <c r="H11" s="1">
        <v>30.25</v>
      </c>
      <c r="I11" s="1">
        <v>-10</v>
      </c>
      <c r="J11" s="1">
        <v>183</v>
      </c>
      <c r="K11" s="1">
        <v>11.8</v>
      </c>
      <c r="L11" s="1">
        <v>15</v>
      </c>
      <c r="O11" s="1">
        <v>24.5</v>
      </c>
      <c r="Q11" s="1">
        <v>2.8</v>
      </c>
    </row>
    <row r="12" spans="1:21">
      <c r="A12" t="s">
        <v>2299</v>
      </c>
      <c r="B12" s="33" t="s">
        <v>2300</v>
      </c>
      <c r="C12" t="s">
        <v>2301</v>
      </c>
      <c r="D12" t="s">
        <v>2302</v>
      </c>
      <c r="E12" s="3" t="s">
        <v>2756</v>
      </c>
      <c r="F12" s="1">
        <v>0.13</v>
      </c>
      <c r="G12" s="1">
        <v>12.5</v>
      </c>
      <c r="H12" s="1">
        <v>6.75</v>
      </c>
      <c r="J12" s="1">
        <v>48</v>
      </c>
      <c r="K12" s="1">
        <v>3</v>
      </c>
      <c r="L12" s="1">
        <v>15</v>
      </c>
      <c r="O12" s="1">
        <v>44</v>
      </c>
      <c r="P12" s="1">
        <v>1</v>
      </c>
      <c r="Q12" s="1">
        <v>15</v>
      </c>
      <c r="T12" t="s">
        <v>2303</v>
      </c>
      <c r="U12" s="3" t="s">
        <v>243</v>
      </c>
    </row>
    <row r="13" spans="1:21">
      <c r="E13" s="3" t="s">
        <v>2756</v>
      </c>
      <c r="F13" s="1">
        <v>0.13</v>
      </c>
      <c r="G13" s="1">
        <v>16</v>
      </c>
      <c r="H13" s="1">
        <v>32</v>
      </c>
      <c r="J13" s="1">
        <v>110</v>
      </c>
      <c r="K13" s="1">
        <v>10</v>
      </c>
      <c r="L13" s="1">
        <v>15</v>
      </c>
      <c r="O13" s="1">
        <v>30</v>
      </c>
      <c r="P13" s="1">
        <v>1.2</v>
      </c>
      <c r="Q13" s="1">
        <v>10.8</v>
      </c>
    </row>
    <row r="14" spans="1:21">
      <c r="A14" t="s">
        <v>1849</v>
      </c>
      <c r="B14" s="8" t="s">
        <v>2304</v>
      </c>
      <c r="C14" s="3" t="s">
        <v>2305</v>
      </c>
      <c r="D14" s="7" t="s">
        <v>2306</v>
      </c>
      <c r="E14" s="77" t="s">
        <v>2578</v>
      </c>
      <c r="F14" s="126" t="s">
        <v>5</v>
      </c>
      <c r="G14" s="1">
        <v>2.5</v>
      </c>
      <c r="H14" s="1">
        <v>2.75</v>
      </c>
      <c r="I14" s="1">
        <v>-10</v>
      </c>
      <c r="K14" s="1">
        <v>3.4</v>
      </c>
      <c r="L14" s="1">
        <v>15</v>
      </c>
      <c r="O14" s="1">
        <v>31</v>
      </c>
      <c r="P14" s="1">
        <v>0.2</v>
      </c>
      <c r="Q14" s="1">
        <v>0.28999999999999998</v>
      </c>
      <c r="T14" t="s">
        <v>2307</v>
      </c>
      <c r="U14" s="3" t="s">
        <v>5</v>
      </c>
    </row>
    <row r="15" spans="1:21">
      <c r="A15" t="s">
        <v>1840</v>
      </c>
      <c r="B15" s="8" t="s">
        <v>2308</v>
      </c>
      <c r="C15" s="3" t="s">
        <v>2309</v>
      </c>
      <c r="D15" s="7" t="s">
        <v>2310</v>
      </c>
      <c r="E15" s="7" t="s">
        <v>2756</v>
      </c>
      <c r="F15" s="6">
        <v>3.5000000000000003E-2</v>
      </c>
      <c r="G15" s="1">
        <v>25</v>
      </c>
      <c r="H15" s="1">
        <v>82.5</v>
      </c>
      <c r="I15" s="1">
        <v>-5</v>
      </c>
      <c r="K15" s="1">
        <v>26</v>
      </c>
      <c r="L15" s="1">
        <v>20</v>
      </c>
      <c r="M15" s="1">
        <v>-32.700000000000003</v>
      </c>
      <c r="O15" s="1">
        <v>29</v>
      </c>
      <c r="Q15" s="1">
        <v>9.8000000000000007</v>
      </c>
      <c r="S15" s="1">
        <v>1.0660000000000001</v>
      </c>
      <c r="T15" t="s">
        <v>2311</v>
      </c>
      <c r="U15" s="3" t="s">
        <v>5</v>
      </c>
    </row>
    <row r="16" spans="1:21">
      <c r="A16" t="s">
        <v>1719</v>
      </c>
      <c r="B16" s="8" t="s">
        <v>2312</v>
      </c>
      <c r="C16" s="3" t="s">
        <v>2313</v>
      </c>
      <c r="D16" s="7" t="s">
        <v>2314</v>
      </c>
      <c r="E16" s="77" t="s">
        <v>5</v>
      </c>
      <c r="F16" s="6" t="s">
        <v>5</v>
      </c>
      <c r="G16" s="1">
        <v>3.6</v>
      </c>
      <c r="H16" s="1">
        <v>3.5</v>
      </c>
      <c r="K16" s="1">
        <v>2</v>
      </c>
      <c r="L16" s="1">
        <v>11</v>
      </c>
      <c r="O16" s="1">
        <v>39</v>
      </c>
      <c r="P16" s="1">
        <v>0.7</v>
      </c>
      <c r="S16" s="1">
        <v>6</v>
      </c>
      <c r="T16" t="s">
        <v>2315</v>
      </c>
      <c r="U16" s="3" t="s">
        <v>5</v>
      </c>
    </row>
    <row r="17" spans="1:21">
      <c r="B17" s="8"/>
      <c r="C17" s="3"/>
      <c r="D17" s="7"/>
      <c r="E17" s="7"/>
      <c r="F17" s="6"/>
      <c r="G17" s="1">
        <v>0.75</v>
      </c>
      <c r="H17" s="1">
        <v>1.875</v>
      </c>
      <c r="K17" s="1">
        <v>17.5</v>
      </c>
      <c r="L17" s="1">
        <v>11</v>
      </c>
      <c r="O17" s="1">
        <v>33.75</v>
      </c>
      <c r="P17" s="1">
        <v>0.4</v>
      </c>
      <c r="T17" s="4"/>
      <c r="U17" s="3"/>
    </row>
    <row r="18" spans="1:21">
      <c r="A18" t="s">
        <v>1842</v>
      </c>
      <c r="B18" s="8" t="s">
        <v>2316</v>
      </c>
      <c r="C18" t="s">
        <v>2317</v>
      </c>
      <c r="D18" s="77" t="s">
        <v>2318</v>
      </c>
      <c r="E18" s="3" t="s">
        <v>2756</v>
      </c>
      <c r="F18" s="6">
        <v>3.5000000000000003E-2</v>
      </c>
      <c r="G18" s="1">
        <v>30</v>
      </c>
      <c r="H18" s="1">
        <v>85</v>
      </c>
      <c r="I18" s="1">
        <v>-10</v>
      </c>
      <c r="J18" s="1">
        <v>225</v>
      </c>
      <c r="K18" s="1">
        <v>23</v>
      </c>
      <c r="L18" s="1">
        <v>20</v>
      </c>
      <c r="O18" s="1">
        <v>18.5</v>
      </c>
      <c r="Q18" s="1">
        <v>10</v>
      </c>
      <c r="S18" s="1">
        <v>1.17</v>
      </c>
      <c r="T18" t="s">
        <v>2319</v>
      </c>
      <c r="U18" s="3" t="s">
        <v>2320</v>
      </c>
    </row>
    <row r="19" spans="1:21">
      <c r="E19" s="3" t="s">
        <v>2756</v>
      </c>
      <c r="F19" s="6">
        <v>3.5000000000000003E-2</v>
      </c>
      <c r="G19" s="1">
        <v>47</v>
      </c>
      <c r="H19" s="1">
        <v>90.5</v>
      </c>
      <c r="I19" s="1">
        <v>-10</v>
      </c>
      <c r="J19" s="1">
        <v>246</v>
      </c>
      <c r="K19" s="1">
        <v>22</v>
      </c>
      <c r="L19" s="1">
        <v>20</v>
      </c>
      <c r="O19" s="1">
        <v>16</v>
      </c>
      <c r="Q19" s="1">
        <v>6</v>
      </c>
      <c r="S19" s="1">
        <v>1.17</v>
      </c>
    </row>
    <row r="20" spans="1:21">
      <c r="E20" s="3" t="s">
        <v>2756</v>
      </c>
      <c r="F20" s="6">
        <v>3.5000000000000003E-2</v>
      </c>
      <c r="G20" s="1">
        <v>45</v>
      </c>
      <c r="H20" s="1">
        <v>90.5</v>
      </c>
      <c r="I20" s="1">
        <v>-10</v>
      </c>
      <c r="J20" s="1">
        <v>227</v>
      </c>
      <c r="K20" s="1">
        <v>25</v>
      </c>
      <c r="L20" s="1">
        <v>20</v>
      </c>
      <c r="O20" s="1">
        <v>16</v>
      </c>
      <c r="Q20" s="1">
        <v>6</v>
      </c>
      <c r="S20" s="1">
        <v>1.17</v>
      </c>
    </row>
    <row r="21" spans="1:21">
      <c r="D21" s="11"/>
      <c r="E21" s="3" t="s">
        <v>2756</v>
      </c>
      <c r="F21" s="6">
        <v>3.5000000000000003E-2</v>
      </c>
      <c r="G21" s="1">
        <v>45</v>
      </c>
      <c r="H21" s="1">
        <v>90.5</v>
      </c>
      <c r="I21" s="1">
        <v>-10</v>
      </c>
      <c r="J21" s="1">
        <v>227</v>
      </c>
      <c r="K21" s="1">
        <v>22</v>
      </c>
      <c r="L21" s="1">
        <v>20</v>
      </c>
      <c r="O21" s="1">
        <v>17</v>
      </c>
      <c r="Q21" s="1">
        <v>6</v>
      </c>
      <c r="S21" s="1">
        <v>1.17</v>
      </c>
    </row>
    <row r="22" spans="1:21" ht="18.75">
      <c r="A22" t="s">
        <v>2321</v>
      </c>
      <c r="B22" s="8" t="s">
        <v>2322</v>
      </c>
      <c r="C22" s="3" t="s">
        <v>2323</v>
      </c>
      <c r="D22" s="7" t="s">
        <v>2324</v>
      </c>
      <c r="E22" s="3" t="s">
        <v>2756</v>
      </c>
      <c r="F22" s="6">
        <v>0.1</v>
      </c>
      <c r="G22" s="1">
        <v>16</v>
      </c>
      <c r="H22" s="1">
        <v>32</v>
      </c>
      <c r="I22" s="1">
        <v>-11.6</v>
      </c>
      <c r="J22" s="1">
        <v>87</v>
      </c>
      <c r="K22" s="1">
        <v>7</v>
      </c>
      <c r="L22" s="1">
        <v>5.5</v>
      </c>
      <c r="O22" s="1">
        <v>29</v>
      </c>
      <c r="P22" s="1">
        <v>1</v>
      </c>
      <c r="Q22" s="1">
        <v>3</v>
      </c>
      <c r="S22" s="1">
        <v>1.5</v>
      </c>
      <c r="T22" t="s">
        <v>2325</v>
      </c>
      <c r="U22" s="3" t="s">
        <v>243</v>
      </c>
    </row>
    <row r="23" spans="1:21">
      <c r="E23" s="3" t="s">
        <v>2756</v>
      </c>
      <c r="F23" s="6">
        <v>0.1</v>
      </c>
      <c r="G23" s="1">
        <v>24</v>
      </c>
      <c r="H23" s="1">
        <v>40</v>
      </c>
      <c r="I23" s="1">
        <v>-8</v>
      </c>
      <c r="J23" s="1">
        <v>114</v>
      </c>
      <c r="K23" s="1">
        <v>6.7</v>
      </c>
      <c r="L23" s="1">
        <v>5.5</v>
      </c>
      <c r="O23" s="1">
        <v>34.799999999999997</v>
      </c>
      <c r="P23" s="1">
        <v>1</v>
      </c>
      <c r="Q23" s="1">
        <v>10</v>
      </c>
      <c r="S23" s="1">
        <v>1.5</v>
      </c>
    </row>
    <row r="24" spans="1:21">
      <c r="A24" t="s">
        <v>2326</v>
      </c>
      <c r="B24" s="8" t="s">
        <v>2327</v>
      </c>
      <c r="C24" s="39" t="s">
        <v>2328</v>
      </c>
      <c r="D24" s="7" t="s">
        <v>2329</v>
      </c>
      <c r="E24" s="3" t="s">
        <v>2756</v>
      </c>
      <c r="F24" s="6">
        <v>0.1</v>
      </c>
      <c r="G24" s="1">
        <v>13.7</v>
      </c>
      <c r="H24" s="1">
        <v>7.15</v>
      </c>
      <c r="I24" s="1">
        <v>-10</v>
      </c>
      <c r="J24" s="1">
        <v>44.2</v>
      </c>
      <c r="K24" s="1">
        <v>2.2000000000000002</v>
      </c>
      <c r="L24" s="1">
        <v>4</v>
      </c>
      <c r="M24" s="1">
        <v>-10</v>
      </c>
      <c r="O24" s="1">
        <v>43</v>
      </c>
      <c r="P24" s="1">
        <v>0.8</v>
      </c>
      <c r="Q24" s="1">
        <v>12</v>
      </c>
      <c r="S24" s="1">
        <v>1.5</v>
      </c>
      <c r="T24" t="s">
        <v>2330</v>
      </c>
      <c r="U24" s="3" t="s">
        <v>243</v>
      </c>
    </row>
    <row r="25" spans="1:21">
      <c r="E25" s="3" t="s">
        <v>2756</v>
      </c>
      <c r="F25" s="6">
        <v>0.1</v>
      </c>
      <c r="G25" s="1">
        <v>12</v>
      </c>
      <c r="H25" s="1">
        <v>22</v>
      </c>
      <c r="I25" s="1">
        <v>-10</v>
      </c>
      <c r="J25" s="1">
        <v>95.5</v>
      </c>
      <c r="K25" s="1">
        <v>4.8</v>
      </c>
      <c r="L25" s="1">
        <v>4</v>
      </c>
      <c r="M25" s="1">
        <v>-12</v>
      </c>
      <c r="O25" s="1">
        <v>34.1</v>
      </c>
      <c r="P25" s="1">
        <v>0.5</v>
      </c>
      <c r="Q25" s="1">
        <v>3.5</v>
      </c>
      <c r="S25" s="1">
        <v>1.5</v>
      </c>
    </row>
    <row r="26" spans="1:21">
      <c r="A26" t="s">
        <v>2939</v>
      </c>
      <c r="B26" t="s">
        <v>2938</v>
      </c>
      <c r="C26" t="s">
        <v>2940</v>
      </c>
      <c r="D26" t="s">
        <v>2941</v>
      </c>
      <c r="E26" s="3" t="s">
        <v>2756</v>
      </c>
      <c r="F26" s="6">
        <v>0.1</v>
      </c>
      <c r="G26" s="1">
        <v>10</v>
      </c>
      <c r="H26" s="1">
        <v>13</v>
      </c>
      <c r="K26" s="1">
        <v>5</v>
      </c>
      <c r="L26" s="1">
        <v>10</v>
      </c>
      <c r="O26" s="1">
        <v>32.799999999999997</v>
      </c>
      <c r="P26" s="1">
        <v>0.5</v>
      </c>
      <c r="Q26" s="1">
        <v>19.600000000000001</v>
      </c>
      <c r="S26" s="1">
        <v>2.5</v>
      </c>
      <c r="T26" s="4" t="s">
        <v>2942</v>
      </c>
    </row>
    <row r="27" spans="1:21">
      <c r="E27" s="3" t="s">
        <v>2756</v>
      </c>
      <c r="F27" s="6">
        <v>0.05</v>
      </c>
      <c r="G27" s="1">
        <v>10</v>
      </c>
      <c r="H27" s="1">
        <v>13</v>
      </c>
      <c r="K27" s="1">
        <v>6.2</v>
      </c>
      <c r="L27" s="1">
        <v>10</v>
      </c>
      <c r="O27" s="1">
        <v>31.1</v>
      </c>
      <c r="P27" s="1">
        <v>0.5</v>
      </c>
      <c r="Q27" s="1">
        <v>19.600000000000001</v>
      </c>
      <c r="S27" s="1">
        <v>2.5</v>
      </c>
    </row>
    <row r="28" spans="1:21">
      <c r="E28" s="3" t="s">
        <v>2756</v>
      </c>
      <c r="F28" s="6">
        <v>0.05</v>
      </c>
      <c r="G28" s="1">
        <v>10</v>
      </c>
      <c r="H28" s="1">
        <v>13</v>
      </c>
      <c r="K28" s="1">
        <v>5.9</v>
      </c>
      <c r="L28" s="1">
        <v>10</v>
      </c>
      <c r="O28" s="1">
        <v>31.5</v>
      </c>
      <c r="P28" s="1">
        <v>0.5</v>
      </c>
      <c r="Q28" s="1">
        <v>19.600000000000001</v>
      </c>
      <c r="S28" s="1">
        <v>2.5</v>
      </c>
    </row>
    <row r="29" spans="1:21">
      <c r="E29" s="3" t="s">
        <v>2756</v>
      </c>
      <c r="F29" s="6">
        <v>0.05</v>
      </c>
      <c r="G29" s="1">
        <v>10</v>
      </c>
      <c r="H29" s="1">
        <v>13</v>
      </c>
      <c r="K29" s="1">
        <v>3.8</v>
      </c>
      <c r="L29" s="1">
        <v>10</v>
      </c>
      <c r="O29" s="1">
        <v>31.8</v>
      </c>
      <c r="P29" s="1">
        <v>0.5</v>
      </c>
      <c r="Q29" s="1">
        <v>4.2</v>
      </c>
      <c r="S29" s="1">
        <v>2.5</v>
      </c>
    </row>
    <row r="30" spans="1:21">
      <c r="E30" s="3" t="s">
        <v>2756</v>
      </c>
      <c r="F30" s="6">
        <v>0.05</v>
      </c>
      <c r="G30" s="1">
        <v>10</v>
      </c>
      <c r="H30" s="1">
        <v>13</v>
      </c>
      <c r="K30" s="1">
        <v>3.3</v>
      </c>
      <c r="L30" s="1">
        <v>10</v>
      </c>
      <c r="O30" s="1">
        <v>40.5</v>
      </c>
      <c r="P30" s="1">
        <v>0.5</v>
      </c>
      <c r="Q30" s="1">
        <v>24.4</v>
      </c>
      <c r="S30" s="1">
        <v>2.5</v>
      </c>
    </row>
    <row r="31" spans="1:21" ht="18">
      <c r="A31" t="s">
        <v>3580</v>
      </c>
      <c r="B31" t="s">
        <v>3405</v>
      </c>
      <c r="C31" t="s">
        <v>3406</v>
      </c>
      <c r="D31" t="s">
        <v>3407</v>
      </c>
      <c r="E31" s="3" t="s">
        <v>2756</v>
      </c>
      <c r="F31" s="6"/>
      <c r="G31" s="1">
        <v>2</v>
      </c>
      <c r="H31" s="1">
        <v>5</v>
      </c>
      <c r="I31" s="1">
        <v>-5</v>
      </c>
      <c r="K31" s="1">
        <v>2</v>
      </c>
      <c r="L31" s="1">
        <v>4</v>
      </c>
      <c r="M31" s="1">
        <v>-53</v>
      </c>
      <c r="O31" s="1">
        <v>22.5</v>
      </c>
      <c r="P31" s="1">
        <v>0.06</v>
      </c>
      <c r="Q31" s="1">
        <v>0.1</v>
      </c>
      <c r="T31" s="4" t="s">
        <v>3408</v>
      </c>
    </row>
    <row r="32" spans="1:21">
      <c r="E32" s="3" t="s">
        <v>2756</v>
      </c>
      <c r="F32" s="6"/>
      <c r="G32" s="1">
        <v>2</v>
      </c>
      <c r="H32" s="1">
        <v>5</v>
      </c>
      <c r="I32" s="1">
        <v>-5</v>
      </c>
      <c r="K32" s="1">
        <v>1.7</v>
      </c>
      <c r="L32" s="1">
        <v>4</v>
      </c>
      <c r="M32" s="1">
        <v>-49</v>
      </c>
      <c r="O32" s="1">
        <v>23.1</v>
      </c>
      <c r="P32" s="1">
        <v>0.08</v>
      </c>
      <c r="Q32" s="1">
        <v>0.2</v>
      </c>
      <c r="T32" s="4"/>
    </row>
    <row r="33" spans="1:21" ht="18">
      <c r="A33" t="s">
        <v>3581</v>
      </c>
      <c r="B33" t="s">
        <v>3383</v>
      </c>
      <c r="C33" t="s">
        <v>3384</v>
      </c>
      <c r="D33" t="s">
        <v>3385</v>
      </c>
      <c r="E33" s="77" t="s">
        <v>2756</v>
      </c>
      <c r="F33" s="6">
        <v>0.05</v>
      </c>
      <c r="G33" s="1">
        <v>4</v>
      </c>
      <c r="H33" s="1">
        <v>6</v>
      </c>
      <c r="I33" s="1">
        <v>-9.6</v>
      </c>
      <c r="J33" s="1">
        <v>45</v>
      </c>
      <c r="K33" s="1">
        <v>2.1</v>
      </c>
      <c r="L33" s="1">
        <v>10</v>
      </c>
      <c r="O33" s="1">
        <v>32.799999999999997</v>
      </c>
      <c r="Q33" s="1">
        <v>2.7</v>
      </c>
      <c r="S33" s="1">
        <v>2.5</v>
      </c>
      <c r="T33" s="4" t="s">
        <v>3386</v>
      </c>
    </row>
    <row r="34" spans="1:21">
      <c r="E34" s="77" t="s">
        <v>2756</v>
      </c>
      <c r="F34" s="6">
        <v>0.05</v>
      </c>
      <c r="G34" s="1">
        <v>4</v>
      </c>
      <c r="H34" s="1">
        <v>6</v>
      </c>
      <c r="I34" s="1">
        <v>-6.2</v>
      </c>
      <c r="J34" s="1">
        <v>45</v>
      </c>
      <c r="K34" s="1">
        <v>2.8</v>
      </c>
      <c r="L34" s="1">
        <v>10</v>
      </c>
      <c r="O34" s="1">
        <v>24.4</v>
      </c>
      <c r="Q34" s="1">
        <v>3.8</v>
      </c>
      <c r="S34" s="1">
        <v>2.5</v>
      </c>
    </row>
    <row r="35" spans="1:21">
      <c r="E35" s="77" t="s">
        <v>2756</v>
      </c>
      <c r="F35" s="6">
        <v>0.05</v>
      </c>
      <c r="G35" s="1">
        <v>5</v>
      </c>
      <c r="H35" s="1">
        <v>6.5</v>
      </c>
      <c r="I35" s="1">
        <v>-9.8000000000000007</v>
      </c>
      <c r="J35" s="1">
        <v>45</v>
      </c>
      <c r="K35" s="1">
        <v>2.6</v>
      </c>
      <c r="L35" s="1">
        <v>10</v>
      </c>
      <c r="O35" s="1">
        <v>36.6</v>
      </c>
      <c r="Q35" s="1">
        <v>3.3</v>
      </c>
      <c r="S35" s="1">
        <v>2.5</v>
      </c>
    </row>
    <row r="36" spans="1:21">
      <c r="E36" s="77" t="s">
        <v>2756</v>
      </c>
      <c r="F36" s="6">
        <v>0.05</v>
      </c>
      <c r="G36" s="1">
        <v>5</v>
      </c>
      <c r="H36" s="1">
        <v>6.5</v>
      </c>
      <c r="I36" s="1">
        <v>-10.4</v>
      </c>
      <c r="J36" s="1">
        <v>45</v>
      </c>
      <c r="K36" s="1">
        <v>3.6</v>
      </c>
      <c r="L36" s="1">
        <v>10</v>
      </c>
      <c r="O36" s="1">
        <v>36.700000000000003</v>
      </c>
      <c r="Q36" s="1">
        <v>4</v>
      </c>
      <c r="S36" s="1">
        <v>2.5</v>
      </c>
    </row>
    <row r="37" spans="1:21">
      <c r="A37" t="s">
        <v>3581</v>
      </c>
      <c r="B37" s="8" t="s">
        <v>3387</v>
      </c>
      <c r="C37" s="39" t="s">
        <v>3388</v>
      </c>
      <c r="D37" t="s">
        <v>3389</v>
      </c>
      <c r="E37" s="128" t="s">
        <v>2575</v>
      </c>
      <c r="F37" s="6">
        <v>0.04</v>
      </c>
      <c r="G37" s="1">
        <v>2.99</v>
      </c>
      <c r="H37" s="1">
        <v>1.5049999999999999</v>
      </c>
      <c r="I37" s="1">
        <v>-9.6</v>
      </c>
      <c r="J37" s="1">
        <v>45</v>
      </c>
      <c r="K37" s="1">
        <v>2.2000000000000002</v>
      </c>
      <c r="L37" s="1">
        <v>4</v>
      </c>
      <c r="O37" s="1">
        <v>29</v>
      </c>
      <c r="P37" s="1">
        <v>1.2</v>
      </c>
      <c r="Q37" s="1">
        <v>19.399999999999999</v>
      </c>
      <c r="R37" s="1">
        <v>1.7999999999999999E-2</v>
      </c>
      <c r="T37" s="4" t="s">
        <v>3390</v>
      </c>
    </row>
    <row r="38" spans="1:21">
      <c r="E38" s="128" t="s">
        <v>2575</v>
      </c>
      <c r="F38" s="6">
        <v>0.04</v>
      </c>
      <c r="G38" s="1">
        <v>3.98</v>
      </c>
      <c r="H38" s="1">
        <v>2.0099999999999998</v>
      </c>
      <c r="I38" s="1">
        <v>-10.5</v>
      </c>
      <c r="J38" s="1">
        <v>89</v>
      </c>
      <c r="K38" s="1">
        <v>20</v>
      </c>
      <c r="L38" s="1">
        <v>4</v>
      </c>
      <c r="O38" s="1">
        <v>30.2</v>
      </c>
      <c r="P38" s="1">
        <v>1.2</v>
      </c>
      <c r="Q38" s="1">
        <v>10.8</v>
      </c>
      <c r="R38" s="1">
        <v>7.1999999999999998E-3</v>
      </c>
    </row>
    <row r="39" spans="1:21">
      <c r="A39" t="s">
        <v>3581</v>
      </c>
      <c r="B39" t="s">
        <v>3391</v>
      </c>
      <c r="C39" t="s">
        <v>3392</v>
      </c>
      <c r="D39" t="s">
        <v>3393</v>
      </c>
      <c r="E39" s="77" t="s">
        <v>2578</v>
      </c>
      <c r="F39" s="6">
        <v>0.13</v>
      </c>
      <c r="G39" s="1">
        <v>8.6999999999999993</v>
      </c>
      <c r="H39" s="1">
        <v>4.45</v>
      </c>
      <c r="I39" s="1">
        <v>-10</v>
      </c>
      <c r="K39" s="1">
        <v>4</v>
      </c>
      <c r="L39" s="1">
        <v>3.6</v>
      </c>
      <c r="M39" s="1">
        <v>-6.7</v>
      </c>
      <c r="N39" s="1">
        <v>-33</v>
      </c>
      <c r="O39" s="1">
        <v>36</v>
      </c>
      <c r="P39" s="1">
        <v>1.75</v>
      </c>
      <c r="Q39" s="1">
        <v>8.1999999999999993</v>
      </c>
      <c r="R39" s="1">
        <v>3.7999999999999999E-2</v>
      </c>
      <c r="T39" s="4" t="s">
        <v>3394</v>
      </c>
    </row>
    <row r="40" spans="1:21">
      <c r="A40" t="s">
        <v>3753</v>
      </c>
      <c r="B40" t="s">
        <v>3751</v>
      </c>
      <c r="C40" t="s">
        <v>3752</v>
      </c>
      <c r="D40" t="s">
        <v>3754</v>
      </c>
      <c r="E40" s="77" t="s">
        <v>2756</v>
      </c>
      <c r="F40" s="6"/>
      <c r="G40" s="1">
        <v>6</v>
      </c>
      <c r="H40" s="1">
        <v>6</v>
      </c>
      <c r="I40" s="1">
        <v>-10</v>
      </c>
      <c r="K40" s="1">
        <v>1.2</v>
      </c>
      <c r="L40" s="1">
        <v>4</v>
      </c>
      <c r="O40" s="1">
        <v>44.4</v>
      </c>
      <c r="P40" s="1">
        <v>0.7</v>
      </c>
      <c r="Q40" s="1">
        <v>10.5</v>
      </c>
      <c r="T40" s="4" t="s">
        <v>3755</v>
      </c>
    </row>
    <row r="41" spans="1:21">
      <c r="A41" t="s">
        <v>3143</v>
      </c>
      <c r="B41" t="s">
        <v>3756</v>
      </c>
      <c r="C41" t="s">
        <v>3757</v>
      </c>
      <c r="D41" t="s">
        <v>3758</v>
      </c>
      <c r="E41" s="77" t="s">
        <v>2575</v>
      </c>
      <c r="F41" s="6">
        <v>0.09</v>
      </c>
      <c r="G41" s="1">
        <v>4.9000000000000004</v>
      </c>
      <c r="H41" s="1">
        <v>11.55</v>
      </c>
      <c r="I41" s="1">
        <v>-10</v>
      </c>
      <c r="J41" s="1">
        <v>3.9</v>
      </c>
      <c r="K41" s="1">
        <v>66</v>
      </c>
      <c r="L41" s="1">
        <v>4</v>
      </c>
      <c r="O41" s="1">
        <v>15.5</v>
      </c>
      <c r="Q41" s="1">
        <v>0.7</v>
      </c>
      <c r="R41" s="1">
        <v>0.44</v>
      </c>
      <c r="T41" s="4" t="s">
        <v>3759</v>
      </c>
    </row>
    <row r="42" spans="1:21">
      <c r="E42" s="77"/>
      <c r="F42" s="6"/>
      <c r="T42" s="4"/>
    </row>
    <row r="43" spans="1:21">
      <c r="E43" s="77"/>
      <c r="F43" s="6"/>
      <c r="T43" s="4"/>
    </row>
    <row r="44" spans="1:21">
      <c r="E44" s="77"/>
      <c r="F44" s="6"/>
      <c r="T44" s="4"/>
    </row>
    <row r="45" spans="1:21">
      <c r="E45" s="77"/>
      <c r="F45" s="6"/>
      <c r="T45" s="4"/>
    </row>
    <row r="46" spans="1:21">
      <c r="E46" s="77"/>
      <c r="F46" s="6"/>
    </row>
    <row r="47" spans="1:21" ht="15.75">
      <c r="A47" s="47" t="s">
        <v>415</v>
      </c>
      <c r="B47" s="46"/>
      <c r="C47" s="46"/>
      <c r="D47" s="46"/>
      <c r="E47" s="46"/>
      <c r="F47" s="93"/>
      <c r="G47" s="93"/>
      <c r="H47" s="93"/>
      <c r="I47" s="93"/>
      <c r="J47" s="93"/>
      <c r="K47" s="93"/>
      <c r="L47" s="93"/>
      <c r="M47" s="93"/>
      <c r="N47" s="93"/>
      <c r="O47" s="93"/>
      <c r="P47" s="93"/>
      <c r="Q47" s="93"/>
      <c r="R47" s="93"/>
      <c r="S47" s="93"/>
      <c r="T47" s="46"/>
    </row>
    <row r="48" spans="1:21">
      <c r="A48" t="s">
        <v>1526</v>
      </c>
      <c r="B48" t="s">
        <v>2331</v>
      </c>
      <c r="C48" t="s">
        <v>2332</v>
      </c>
      <c r="D48" s="39" t="s">
        <v>2863</v>
      </c>
      <c r="E48" s="39" t="s">
        <v>2704</v>
      </c>
      <c r="F48" s="29">
        <v>0.2</v>
      </c>
      <c r="G48" s="27">
        <v>1.2</v>
      </c>
      <c r="H48" s="27">
        <v>1.6</v>
      </c>
      <c r="I48" s="27"/>
      <c r="J48" s="27">
        <v>28.8</v>
      </c>
      <c r="K48" s="27">
        <v>7</v>
      </c>
      <c r="L48" s="27">
        <v>243.15</v>
      </c>
      <c r="M48" s="27"/>
      <c r="N48" s="27"/>
      <c r="O48" s="27">
        <v>19</v>
      </c>
      <c r="P48" s="27">
        <v>12</v>
      </c>
      <c r="Q48" s="27">
        <v>2400</v>
      </c>
      <c r="R48" s="27"/>
      <c r="S48" s="27"/>
      <c r="T48" t="s">
        <v>2633</v>
      </c>
      <c r="U48" s="3" t="s">
        <v>2444</v>
      </c>
    </row>
    <row r="49" spans="1:24">
      <c r="D49" s="39"/>
      <c r="E49" s="39" t="s">
        <v>2704</v>
      </c>
      <c r="F49" s="27">
        <v>0.2</v>
      </c>
      <c r="G49" s="27">
        <v>1.5</v>
      </c>
      <c r="H49" s="27">
        <v>1.75</v>
      </c>
      <c r="I49" s="27"/>
      <c r="J49" s="27">
        <v>21.3</v>
      </c>
      <c r="K49" s="27">
        <v>3.5</v>
      </c>
      <c r="L49" s="27">
        <v>243.15</v>
      </c>
      <c r="M49" s="27"/>
      <c r="N49" s="27"/>
      <c r="O49" s="27">
        <v>15.75</v>
      </c>
      <c r="P49" s="27">
        <v>18</v>
      </c>
      <c r="Q49" s="27">
        <v>1000</v>
      </c>
      <c r="R49" s="27"/>
      <c r="S49" s="27">
        <v>2.89</v>
      </c>
    </row>
    <row r="50" spans="1:24">
      <c r="D50" s="39"/>
      <c r="E50" s="39" t="s">
        <v>2704</v>
      </c>
      <c r="F50" s="27">
        <v>0.2</v>
      </c>
      <c r="G50" s="27">
        <v>1.5</v>
      </c>
      <c r="H50" s="27">
        <v>1.75</v>
      </c>
      <c r="I50" s="27"/>
      <c r="J50" s="27">
        <v>52.1</v>
      </c>
      <c r="K50" s="27">
        <v>17.7</v>
      </c>
      <c r="L50" s="27">
        <v>243.15</v>
      </c>
      <c r="M50" s="27"/>
      <c r="N50" s="27"/>
      <c r="O50" s="27">
        <v>19</v>
      </c>
      <c r="P50" s="27">
        <v>15</v>
      </c>
      <c r="Q50" s="27">
        <v>6000</v>
      </c>
      <c r="R50" s="27"/>
      <c r="S50" s="27"/>
    </row>
    <row r="51" spans="1:24">
      <c r="A51" t="s">
        <v>2333</v>
      </c>
      <c r="B51" s="8" t="s">
        <v>2334</v>
      </c>
      <c r="C51" t="s">
        <v>2335</v>
      </c>
      <c r="D51" s="39" t="s">
        <v>2336</v>
      </c>
      <c r="E51" s="39" t="s">
        <v>2575</v>
      </c>
      <c r="F51" s="28">
        <v>0.16</v>
      </c>
      <c r="G51" s="27">
        <v>0.4</v>
      </c>
      <c r="H51" s="27">
        <v>0.3</v>
      </c>
      <c r="I51" s="27"/>
      <c r="J51" s="27">
        <v>60</v>
      </c>
      <c r="K51" s="27">
        <v>7</v>
      </c>
      <c r="L51" s="27">
        <v>4</v>
      </c>
      <c r="M51" s="27"/>
      <c r="N51" s="27">
        <v>-47</v>
      </c>
      <c r="O51" s="27">
        <v>57</v>
      </c>
      <c r="P51" s="27"/>
      <c r="Q51" s="27">
        <v>54.9</v>
      </c>
      <c r="R51" s="27"/>
      <c r="S51" s="27"/>
      <c r="T51" t="s">
        <v>2337</v>
      </c>
      <c r="U51" s="3" t="s">
        <v>5</v>
      </c>
    </row>
    <row r="52" spans="1:24">
      <c r="A52" s="3" t="s">
        <v>2854</v>
      </c>
      <c r="B52" s="14" t="s">
        <v>2859</v>
      </c>
      <c r="C52" s="39" t="s">
        <v>2860</v>
      </c>
      <c r="D52" s="39" t="s">
        <v>2861</v>
      </c>
      <c r="E52" s="39" t="s">
        <v>2578</v>
      </c>
      <c r="F52" s="27">
        <v>0.13</v>
      </c>
      <c r="G52" s="27">
        <v>20</v>
      </c>
      <c r="H52" s="27">
        <v>52</v>
      </c>
      <c r="I52" s="27">
        <v>-10</v>
      </c>
      <c r="J52" s="27">
        <v>527</v>
      </c>
      <c r="K52" s="27">
        <v>50.7</v>
      </c>
      <c r="L52" s="27">
        <v>20</v>
      </c>
      <c r="M52" s="27"/>
      <c r="N52" s="27"/>
      <c r="O52" s="27">
        <v>30.3</v>
      </c>
      <c r="P52" s="27">
        <v>1</v>
      </c>
      <c r="Q52" s="27">
        <v>15</v>
      </c>
      <c r="S52" s="1">
        <v>0.6</v>
      </c>
      <c r="T52" s="66" t="s">
        <v>2862</v>
      </c>
      <c r="X52" s="3"/>
    </row>
    <row r="53" spans="1:24">
      <c r="A53" s="3" t="s">
        <v>2943</v>
      </c>
      <c r="B53" s="14" t="s">
        <v>2898</v>
      </c>
      <c r="C53" s="39" t="s">
        <v>2899</v>
      </c>
      <c r="D53" s="39" t="s">
        <v>2900</v>
      </c>
      <c r="E53" s="39" t="s">
        <v>2575</v>
      </c>
      <c r="F53" s="27">
        <v>0.04</v>
      </c>
      <c r="G53" s="27">
        <v>1.28</v>
      </c>
      <c r="H53" s="27">
        <v>5.46</v>
      </c>
      <c r="I53" s="27">
        <v>-10</v>
      </c>
      <c r="J53" s="27">
        <v>55</v>
      </c>
      <c r="K53" s="27">
        <v>15.8</v>
      </c>
      <c r="L53" s="27">
        <v>4.2</v>
      </c>
      <c r="M53" s="27">
        <v>-56</v>
      </c>
      <c r="N53" s="27">
        <v>-41.2</v>
      </c>
      <c r="O53" s="27">
        <v>40</v>
      </c>
      <c r="P53" s="27">
        <v>1.4</v>
      </c>
      <c r="Q53" s="27">
        <v>39</v>
      </c>
      <c r="S53" s="1">
        <v>0.61439999999999995</v>
      </c>
      <c r="T53" s="66" t="s">
        <v>2901</v>
      </c>
      <c r="X53" s="3"/>
    </row>
    <row r="54" spans="1:24" ht="18">
      <c r="A54" s="3" t="s">
        <v>3311</v>
      </c>
      <c r="B54" s="14" t="s">
        <v>3148</v>
      </c>
      <c r="C54" s="39" t="s">
        <v>3149</v>
      </c>
      <c r="D54" t="s">
        <v>3150</v>
      </c>
      <c r="E54" s="39" t="s">
        <v>2575</v>
      </c>
      <c r="F54" s="27">
        <v>2.8000000000000001E-2</v>
      </c>
      <c r="G54" s="27">
        <v>2</v>
      </c>
      <c r="H54" s="27">
        <v>7</v>
      </c>
      <c r="I54" s="27">
        <v>-4</v>
      </c>
      <c r="J54" s="27">
        <v>226</v>
      </c>
      <c r="K54" s="27">
        <v>28</v>
      </c>
      <c r="L54" s="27">
        <v>4.2</v>
      </c>
      <c r="M54" s="27"/>
      <c r="N54" s="27"/>
      <c r="O54" s="27">
        <v>50</v>
      </c>
      <c r="P54" s="27">
        <v>0.8</v>
      </c>
      <c r="Q54" s="27">
        <v>4.2</v>
      </c>
      <c r="R54" s="1">
        <v>0.2</v>
      </c>
      <c r="T54" s="66" t="s">
        <v>3151</v>
      </c>
      <c r="X54" s="3"/>
    </row>
    <row r="55" spans="1:24">
      <c r="A55" s="46" t="s">
        <v>735</v>
      </c>
      <c r="B55" s="46"/>
      <c r="C55" s="46"/>
      <c r="D55" s="46"/>
      <c r="E55" s="46"/>
      <c r="F55" s="67"/>
      <c r="G55" s="93"/>
      <c r="H55" s="93"/>
      <c r="I55" s="93"/>
      <c r="J55" s="93"/>
      <c r="K55" s="93"/>
      <c r="L55" s="93"/>
      <c r="M55" s="93"/>
      <c r="N55" s="93"/>
      <c r="O55" s="93"/>
      <c r="P55" s="93"/>
      <c r="Q55" s="93"/>
      <c r="R55" s="93"/>
      <c r="S55" s="93"/>
      <c r="T55" s="46"/>
    </row>
    <row r="56" spans="1:24">
      <c r="A56" s="54" t="s">
        <v>845</v>
      </c>
      <c r="B56" s="54"/>
      <c r="C56" s="54"/>
      <c r="D56" s="54"/>
      <c r="E56" s="54"/>
      <c r="F56" s="127"/>
      <c r="G56" s="95"/>
      <c r="H56" s="95"/>
      <c r="I56" s="95"/>
      <c r="J56" s="95"/>
      <c r="K56" s="95"/>
      <c r="L56" s="95"/>
      <c r="M56" s="95"/>
      <c r="N56" s="95"/>
      <c r="O56" s="95"/>
      <c r="P56" s="95"/>
      <c r="Q56" s="95"/>
      <c r="R56" s="95"/>
      <c r="S56" s="95"/>
      <c r="T56" s="54"/>
    </row>
    <row r="57" spans="1:24">
      <c r="A57" s="2" t="s">
        <v>3164</v>
      </c>
      <c r="B57" s="14" t="s">
        <v>3165</v>
      </c>
      <c r="C57" t="s">
        <v>3166</v>
      </c>
      <c r="D57" s="39" t="s">
        <v>3167</v>
      </c>
      <c r="E57" s="39" t="s">
        <v>2575</v>
      </c>
      <c r="F57" s="27">
        <v>2.1999999999999999E-2</v>
      </c>
      <c r="G57" s="27">
        <v>5</v>
      </c>
      <c r="H57" s="27">
        <v>6.7</v>
      </c>
      <c r="I57" s="27">
        <v>-5.6</v>
      </c>
      <c r="J57" s="27">
        <v>115</v>
      </c>
      <c r="K57" s="27">
        <v>4.5</v>
      </c>
      <c r="L57" s="27">
        <v>16</v>
      </c>
      <c r="M57" s="27"/>
      <c r="N57" s="27"/>
      <c r="O57" s="27">
        <v>34.700000000000003</v>
      </c>
      <c r="P57" s="27">
        <v>0.8</v>
      </c>
      <c r="Q57" s="27">
        <v>21</v>
      </c>
      <c r="R57" s="1">
        <v>0.23</v>
      </c>
      <c r="S57" s="1">
        <v>0.61599999999999999</v>
      </c>
      <c r="T57" s="66" t="s">
        <v>3168</v>
      </c>
    </row>
    <row r="58" spans="1:24">
      <c r="A58" s="2" t="s">
        <v>3164</v>
      </c>
      <c r="B58" s="8" t="s">
        <v>3192</v>
      </c>
      <c r="C58" t="s">
        <v>3194</v>
      </c>
      <c r="D58" s="7" t="s">
        <v>3195</v>
      </c>
      <c r="E58" s="39" t="s">
        <v>2575</v>
      </c>
      <c r="F58" s="1">
        <v>1.4E-2</v>
      </c>
      <c r="G58" s="1">
        <v>2.5</v>
      </c>
      <c r="H58" s="1">
        <v>7.15</v>
      </c>
      <c r="I58" s="1">
        <v>-4</v>
      </c>
      <c r="K58" s="1">
        <v>37.6</v>
      </c>
      <c r="L58" s="1">
        <v>4.0999999999999996</v>
      </c>
      <c r="O58" s="1">
        <v>13.4</v>
      </c>
      <c r="Q58" s="27">
        <v>2.57</v>
      </c>
      <c r="R58" s="119"/>
      <c r="S58" s="1">
        <v>0.56000000000000005</v>
      </c>
      <c r="T58" s="103" t="s">
        <v>3193</v>
      </c>
    </row>
    <row r="59" spans="1:24">
      <c r="A59" s="2" t="s">
        <v>3624</v>
      </c>
      <c r="B59" s="8" t="s">
        <v>3633</v>
      </c>
      <c r="C59" t="s">
        <v>3634</v>
      </c>
      <c r="D59" s="7" t="s">
        <v>3633</v>
      </c>
      <c r="E59" s="39" t="s">
        <v>2575</v>
      </c>
      <c r="F59" s="1">
        <v>2.8000000000000001E-2</v>
      </c>
      <c r="G59" s="1">
        <v>2.19</v>
      </c>
      <c r="H59" s="1">
        <v>1.1499999999999999</v>
      </c>
      <c r="I59" s="1">
        <v>-11</v>
      </c>
      <c r="J59" s="1">
        <v>107</v>
      </c>
      <c r="K59" s="1">
        <v>9.1999999999999993</v>
      </c>
      <c r="L59" s="1">
        <v>4</v>
      </c>
      <c r="O59" s="1">
        <v>46.7</v>
      </c>
      <c r="P59" s="1">
        <v>1</v>
      </c>
      <c r="Q59" s="27">
        <v>5.8</v>
      </c>
      <c r="R59" s="119"/>
      <c r="T59" s="103" t="s">
        <v>3635</v>
      </c>
    </row>
    <row r="60" spans="1:24">
      <c r="A60" s="2"/>
      <c r="B60" s="8"/>
      <c r="D60" s="7"/>
      <c r="E60" s="39"/>
      <c r="Q60" s="27"/>
      <c r="R60" s="119"/>
      <c r="T60" s="103"/>
    </row>
    <row r="61" spans="1:24">
      <c r="A61" s="56" t="s">
        <v>1031</v>
      </c>
      <c r="B61" s="55"/>
      <c r="C61" s="55"/>
      <c r="D61" s="55"/>
      <c r="E61" s="55"/>
      <c r="F61" s="96"/>
      <c r="G61" s="96"/>
      <c r="H61" s="96"/>
      <c r="I61" s="96"/>
      <c r="J61" s="96"/>
      <c r="K61" s="96"/>
      <c r="L61" s="96"/>
      <c r="M61" s="96"/>
      <c r="N61" s="96"/>
      <c r="O61" s="96"/>
      <c r="P61" s="96"/>
      <c r="Q61" s="96"/>
      <c r="R61" s="96"/>
      <c r="S61" s="93"/>
      <c r="T61" s="46"/>
    </row>
    <row r="62" spans="1:24">
      <c r="A62" t="s">
        <v>1032</v>
      </c>
      <c r="B62" t="s">
        <v>2338</v>
      </c>
      <c r="C62" t="s">
        <v>2339</v>
      </c>
      <c r="D62" s="7" t="s">
        <v>2340</v>
      </c>
      <c r="E62" s="7" t="s">
        <v>2756</v>
      </c>
      <c r="F62" s="6" t="s">
        <v>5</v>
      </c>
      <c r="G62" s="1">
        <v>2</v>
      </c>
      <c r="H62" s="1">
        <v>30.25</v>
      </c>
      <c r="K62" s="1">
        <v>7.5</v>
      </c>
      <c r="L62" s="1">
        <v>16</v>
      </c>
      <c r="O62" s="1">
        <v>36</v>
      </c>
      <c r="T62" t="s">
        <v>2617</v>
      </c>
      <c r="U62" s="3" t="s">
        <v>5</v>
      </c>
    </row>
    <row r="63" spans="1:24">
      <c r="A63" t="s">
        <v>1110</v>
      </c>
      <c r="B63" s="8" t="s">
        <v>1125</v>
      </c>
      <c r="C63" t="s">
        <v>1127</v>
      </c>
      <c r="D63" s="7" t="s">
        <v>1126</v>
      </c>
      <c r="E63" s="7" t="s">
        <v>2756</v>
      </c>
      <c r="F63" s="1">
        <v>0.1</v>
      </c>
      <c r="G63" s="1">
        <v>14</v>
      </c>
      <c r="H63" s="1">
        <v>33</v>
      </c>
      <c r="I63" s="1">
        <v>-10</v>
      </c>
      <c r="K63" s="1">
        <v>11.8</v>
      </c>
      <c r="L63" s="1">
        <v>12</v>
      </c>
      <c r="O63" s="1">
        <v>24</v>
      </c>
      <c r="P63" s="1">
        <v>0.7</v>
      </c>
      <c r="Q63" s="1">
        <v>5.95</v>
      </c>
      <c r="S63" s="1">
        <v>1.7</v>
      </c>
      <c r="T63" t="s">
        <v>2620</v>
      </c>
      <c r="U63" s="3" t="s">
        <v>5</v>
      </c>
    </row>
    <row r="64" spans="1:24">
      <c r="A64" t="s">
        <v>1152</v>
      </c>
      <c r="B64" s="8" t="s">
        <v>2341</v>
      </c>
      <c r="C64" t="s">
        <v>2342</v>
      </c>
      <c r="D64" s="7" t="s">
        <v>2343</v>
      </c>
      <c r="E64" s="7" t="s">
        <v>2756</v>
      </c>
      <c r="F64" s="1">
        <v>3.5000000000000003E-2</v>
      </c>
      <c r="G64" s="1">
        <v>10</v>
      </c>
      <c r="H64" s="1">
        <v>170.5</v>
      </c>
      <c r="J64" s="1">
        <v>400</v>
      </c>
      <c r="K64" s="1">
        <v>70</v>
      </c>
      <c r="L64" s="1">
        <v>30</v>
      </c>
      <c r="O64" s="1">
        <v>16</v>
      </c>
      <c r="Q64" s="1">
        <v>22</v>
      </c>
      <c r="S64" s="1">
        <v>0.504</v>
      </c>
      <c r="T64" t="s">
        <v>2634</v>
      </c>
      <c r="U64" s="3" t="s">
        <v>5</v>
      </c>
    </row>
    <row r="65" spans="1:21">
      <c r="A65" t="s">
        <v>1159</v>
      </c>
      <c r="B65" s="8" t="s">
        <v>2344</v>
      </c>
      <c r="C65" t="s">
        <v>2345</v>
      </c>
      <c r="D65" s="7" t="s">
        <v>2346</v>
      </c>
      <c r="E65" s="7" t="s">
        <v>2756</v>
      </c>
      <c r="F65" s="1">
        <v>3.5000000000000003E-2</v>
      </c>
      <c r="G65" s="1">
        <v>24</v>
      </c>
      <c r="H65" s="1">
        <v>82</v>
      </c>
      <c r="J65" s="1">
        <v>300</v>
      </c>
      <c r="K65" s="1">
        <v>22</v>
      </c>
      <c r="L65" s="1">
        <v>17.5</v>
      </c>
      <c r="O65" s="1">
        <v>31</v>
      </c>
      <c r="P65" s="1">
        <v>0.35</v>
      </c>
      <c r="Q65" s="1">
        <v>2.1</v>
      </c>
      <c r="S65" s="1">
        <v>1.68</v>
      </c>
      <c r="T65" t="s">
        <v>2635</v>
      </c>
      <c r="U65" s="3" t="s">
        <v>5</v>
      </c>
    </row>
    <row r="66" spans="1:21">
      <c r="A66" t="s">
        <v>1213</v>
      </c>
      <c r="B66" s="8" t="s">
        <v>2347</v>
      </c>
      <c r="C66" t="s">
        <v>2348</v>
      </c>
      <c r="D66" s="7" t="s">
        <v>2349</v>
      </c>
      <c r="E66" s="7" t="s">
        <v>2756</v>
      </c>
      <c r="F66" s="1">
        <v>0.13</v>
      </c>
      <c r="G66" s="1">
        <v>10</v>
      </c>
      <c r="H66" s="1">
        <v>8</v>
      </c>
      <c r="I66" s="1">
        <v>-10</v>
      </c>
      <c r="J66" s="1">
        <v>48</v>
      </c>
      <c r="K66" s="1">
        <v>3</v>
      </c>
      <c r="L66" s="1">
        <v>15</v>
      </c>
      <c r="O66" s="1">
        <v>44</v>
      </c>
      <c r="P66" s="1">
        <v>1.1000000000000001</v>
      </c>
      <c r="Q66" s="1">
        <v>16.5</v>
      </c>
      <c r="S66" s="1">
        <v>1.5</v>
      </c>
      <c r="T66" t="s">
        <v>2636</v>
      </c>
      <c r="U66" s="3" t="s">
        <v>5</v>
      </c>
    </row>
    <row r="67" spans="1:21">
      <c r="A67" t="s">
        <v>1213</v>
      </c>
      <c r="B67" s="8" t="s">
        <v>2350</v>
      </c>
      <c r="C67" t="s">
        <v>2351</v>
      </c>
      <c r="D67" s="7" t="s">
        <v>2352</v>
      </c>
      <c r="E67" s="7" t="s">
        <v>2579</v>
      </c>
      <c r="F67" s="1">
        <v>0.1</v>
      </c>
      <c r="G67" s="1">
        <v>8</v>
      </c>
      <c r="H67" s="1">
        <v>8.5</v>
      </c>
      <c r="I67" s="1">
        <v>-12</v>
      </c>
      <c r="K67" s="1">
        <v>4</v>
      </c>
      <c r="L67" s="1">
        <v>15</v>
      </c>
      <c r="O67" s="1">
        <v>33.299999999999997</v>
      </c>
      <c r="P67" s="1">
        <v>0.53</v>
      </c>
      <c r="Q67" s="1">
        <v>8</v>
      </c>
      <c r="S67" s="1">
        <v>2.5</v>
      </c>
      <c r="T67" t="s">
        <v>2637</v>
      </c>
      <c r="U67" s="3" t="s">
        <v>5</v>
      </c>
    </row>
    <row r="68" spans="1:21">
      <c r="E68" s="7" t="s">
        <v>2579</v>
      </c>
      <c r="F68" s="1">
        <v>0.1</v>
      </c>
      <c r="G68" s="1">
        <v>9</v>
      </c>
      <c r="H68" s="1">
        <v>29.5</v>
      </c>
      <c r="I68" s="1">
        <v>-13</v>
      </c>
      <c r="K68" s="1">
        <v>11.8</v>
      </c>
      <c r="L68" s="1">
        <v>15</v>
      </c>
      <c r="O68" s="1">
        <v>24.2</v>
      </c>
      <c r="P68" s="1">
        <v>0.37</v>
      </c>
      <c r="Q68" s="1">
        <v>2.8</v>
      </c>
      <c r="S68" s="1">
        <v>2.5</v>
      </c>
    </row>
    <row r="69" spans="1:21">
      <c r="A69" t="s">
        <v>1246</v>
      </c>
      <c r="B69" s="8" t="s">
        <v>2353</v>
      </c>
      <c r="C69" t="s">
        <v>2354</v>
      </c>
      <c r="D69" s="7" t="s">
        <v>2355</v>
      </c>
      <c r="E69" s="7" t="s">
        <v>2756</v>
      </c>
      <c r="F69" s="1">
        <v>3.5000000000000003E-2</v>
      </c>
      <c r="G69" s="1">
        <v>48</v>
      </c>
      <c r="H69" s="1">
        <v>146</v>
      </c>
      <c r="I69" s="1">
        <v>-1.5</v>
      </c>
      <c r="J69" s="1">
        <v>304</v>
      </c>
      <c r="O69" s="1">
        <v>20</v>
      </c>
      <c r="P69" s="1">
        <v>0.8</v>
      </c>
      <c r="Q69" s="1">
        <v>8.8000000000000007</v>
      </c>
      <c r="T69" t="s">
        <v>2638</v>
      </c>
      <c r="U69" s="3" t="s">
        <v>1257</v>
      </c>
    </row>
    <row r="70" spans="1:21">
      <c r="E70" s="7" t="s">
        <v>2756</v>
      </c>
      <c r="F70" s="1">
        <v>3.5000000000000003E-2</v>
      </c>
      <c r="G70" s="1">
        <v>48</v>
      </c>
      <c r="H70" s="1">
        <v>133.5</v>
      </c>
      <c r="I70" s="1">
        <v>-1.5</v>
      </c>
      <c r="J70" s="1">
        <v>255</v>
      </c>
      <c r="O70" s="1">
        <v>20</v>
      </c>
      <c r="P70" s="1">
        <v>0.8</v>
      </c>
      <c r="Q70" s="1">
        <v>9.6</v>
      </c>
    </row>
    <row r="71" spans="1:21">
      <c r="E71" s="7" t="s">
        <v>2756</v>
      </c>
      <c r="F71" s="1">
        <v>3.5000000000000003E-2</v>
      </c>
      <c r="G71" s="1">
        <v>48</v>
      </c>
      <c r="H71" s="1">
        <v>136</v>
      </c>
      <c r="I71" s="1">
        <v>-1.5</v>
      </c>
      <c r="J71" s="1">
        <v>248</v>
      </c>
      <c r="K71" s="1">
        <v>46</v>
      </c>
      <c r="L71" s="1">
        <v>20</v>
      </c>
      <c r="O71" s="1">
        <v>26</v>
      </c>
      <c r="P71" s="1">
        <v>0.5</v>
      </c>
      <c r="Q71" s="1">
        <v>6</v>
      </c>
    </row>
    <row r="72" spans="1:21">
      <c r="A72" t="s">
        <v>1246</v>
      </c>
      <c r="B72" s="8" t="s">
        <v>2356</v>
      </c>
      <c r="C72" t="s">
        <v>2309</v>
      </c>
      <c r="D72" s="7" t="s">
        <v>2357</v>
      </c>
      <c r="E72" s="7" t="s">
        <v>2756</v>
      </c>
      <c r="F72" s="1">
        <v>3.5000000000000003E-2</v>
      </c>
      <c r="G72" s="1">
        <v>41</v>
      </c>
      <c r="H72" s="1">
        <v>95.5</v>
      </c>
      <c r="I72" s="1">
        <v>-5</v>
      </c>
      <c r="J72" s="1">
        <v>225</v>
      </c>
      <c r="K72" s="1">
        <v>23</v>
      </c>
      <c r="L72" s="1">
        <v>20</v>
      </c>
      <c r="O72" s="1">
        <v>31</v>
      </c>
      <c r="P72" s="1">
        <v>0.8</v>
      </c>
      <c r="Q72" s="1">
        <v>4.8</v>
      </c>
      <c r="S72" s="1">
        <v>1.0660000000000001</v>
      </c>
      <c r="T72" t="s">
        <v>2639</v>
      </c>
      <c r="U72" s="3" t="s">
        <v>5</v>
      </c>
    </row>
    <row r="73" spans="1:21">
      <c r="A73" t="s">
        <v>1315</v>
      </c>
      <c r="B73" s="8" t="s">
        <v>2358</v>
      </c>
      <c r="C73" t="s">
        <v>2359</v>
      </c>
      <c r="D73" s="7" t="s">
        <v>2360</v>
      </c>
      <c r="E73" s="7" t="s">
        <v>2756</v>
      </c>
      <c r="F73" s="1">
        <v>3.5000000000000003E-2</v>
      </c>
      <c r="G73" s="1">
        <v>23</v>
      </c>
      <c r="H73" s="1">
        <v>80.5</v>
      </c>
      <c r="J73" s="1">
        <v>220</v>
      </c>
      <c r="K73" s="1">
        <v>26.6</v>
      </c>
      <c r="L73" s="1">
        <v>20</v>
      </c>
      <c r="O73" s="1">
        <v>25</v>
      </c>
      <c r="P73" s="1">
        <v>0.87</v>
      </c>
      <c r="Q73" s="1">
        <v>8.6999999999999993</v>
      </c>
      <c r="S73" s="28">
        <v>1.0660000000000001</v>
      </c>
      <c r="T73" t="s">
        <v>2640</v>
      </c>
      <c r="U73" s="3" t="s">
        <v>5</v>
      </c>
    </row>
    <row r="74" spans="1:21">
      <c r="A74" t="s">
        <v>1315</v>
      </c>
      <c r="B74" s="8" t="s">
        <v>2361</v>
      </c>
      <c r="C74" t="s">
        <v>2362</v>
      </c>
      <c r="D74" s="7" t="s">
        <v>2363</v>
      </c>
      <c r="E74" s="7" t="s">
        <v>2578</v>
      </c>
      <c r="F74" s="6" t="s">
        <v>5</v>
      </c>
      <c r="G74" s="1">
        <v>2.7</v>
      </c>
      <c r="H74" s="1">
        <v>1.9750000000000001</v>
      </c>
      <c r="I74" s="1">
        <v>-3</v>
      </c>
      <c r="K74" s="1">
        <v>2.2999999999999998</v>
      </c>
      <c r="L74" s="1">
        <v>16</v>
      </c>
      <c r="O74" s="1">
        <v>22</v>
      </c>
      <c r="Q74" s="1">
        <v>32</v>
      </c>
      <c r="S74" s="1">
        <v>0.6</v>
      </c>
      <c r="T74" t="s">
        <v>2641</v>
      </c>
      <c r="U74" s="3" t="s">
        <v>5</v>
      </c>
    </row>
    <row r="75" spans="1:21">
      <c r="A75" t="s">
        <v>1315</v>
      </c>
      <c r="B75" s="8" t="s">
        <v>2364</v>
      </c>
      <c r="C75" t="s">
        <v>2365</v>
      </c>
      <c r="D75" s="7" t="s">
        <v>2366</v>
      </c>
      <c r="E75" s="7" t="s">
        <v>2578</v>
      </c>
      <c r="F75" s="6" t="s">
        <v>5</v>
      </c>
      <c r="G75" s="1">
        <v>4</v>
      </c>
      <c r="H75" s="1">
        <v>6</v>
      </c>
      <c r="I75" s="1">
        <v>-11</v>
      </c>
      <c r="J75" s="1">
        <v>77.7</v>
      </c>
      <c r="K75" s="1">
        <v>7.5</v>
      </c>
      <c r="L75" s="1">
        <v>18</v>
      </c>
      <c r="O75" s="1">
        <v>33</v>
      </c>
      <c r="P75" s="1">
        <v>0.4</v>
      </c>
      <c r="Q75" s="1">
        <v>0.76</v>
      </c>
      <c r="S75" s="1">
        <v>0.45</v>
      </c>
      <c r="T75" t="s">
        <v>2642</v>
      </c>
      <c r="U75" s="3" t="s">
        <v>5</v>
      </c>
    </row>
    <row r="76" spans="1:21">
      <c r="A76" t="s">
        <v>1315</v>
      </c>
      <c r="B76" s="8" t="s">
        <v>2367</v>
      </c>
      <c r="C76" t="s">
        <v>2323</v>
      </c>
      <c r="D76" s="7" t="s">
        <v>2368</v>
      </c>
      <c r="E76" s="7" t="s">
        <v>2756</v>
      </c>
      <c r="F76" s="1">
        <v>0.1</v>
      </c>
      <c r="G76" s="1">
        <v>16</v>
      </c>
      <c r="H76" s="1">
        <v>32</v>
      </c>
      <c r="J76" s="1">
        <v>87</v>
      </c>
      <c r="K76" s="1">
        <v>7</v>
      </c>
      <c r="L76" s="1">
        <v>5.5</v>
      </c>
      <c r="O76" s="1">
        <v>29.6</v>
      </c>
      <c r="P76" s="1">
        <v>0.5</v>
      </c>
      <c r="Q76" s="1">
        <v>2.5</v>
      </c>
      <c r="S76" s="1">
        <v>1.5</v>
      </c>
      <c r="T76" t="s">
        <v>2643</v>
      </c>
      <c r="U76" s="3" t="s">
        <v>5</v>
      </c>
    </row>
    <row r="77" spans="1:21">
      <c r="A77" t="s">
        <v>1315</v>
      </c>
      <c r="B77" s="8" t="s">
        <v>2369</v>
      </c>
      <c r="C77" t="s">
        <v>2370</v>
      </c>
      <c r="D77" s="7" t="s">
        <v>2371</v>
      </c>
      <c r="E77" s="7" t="s">
        <v>2580</v>
      </c>
      <c r="F77" s="6" t="s">
        <v>5</v>
      </c>
      <c r="G77" s="1">
        <v>1.6</v>
      </c>
      <c r="H77" s="1">
        <v>1.3</v>
      </c>
      <c r="I77" s="1">
        <v>-10</v>
      </c>
      <c r="K77" s="1">
        <v>1</v>
      </c>
      <c r="L77" s="1">
        <v>10</v>
      </c>
      <c r="O77" s="1">
        <v>34</v>
      </c>
      <c r="P77" s="1">
        <v>0.6</v>
      </c>
      <c r="Q77" s="1">
        <v>13.8</v>
      </c>
      <c r="T77" t="s">
        <v>2644</v>
      </c>
      <c r="U77" s="3" t="s">
        <v>2372</v>
      </c>
    </row>
    <row r="78" spans="1:21">
      <c r="E78" s="7" t="s">
        <v>2580</v>
      </c>
      <c r="G78" s="1">
        <v>2.5</v>
      </c>
      <c r="H78" s="1">
        <v>2.75</v>
      </c>
      <c r="I78" s="1">
        <v>-10</v>
      </c>
      <c r="K78" s="1">
        <v>1.2</v>
      </c>
      <c r="L78" s="1">
        <v>10</v>
      </c>
      <c r="O78" s="1">
        <v>30</v>
      </c>
      <c r="P78" s="1">
        <v>0.8</v>
      </c>
      <c r="Q78" s="1">
        <v>9.6</v>
      </c>
    </row>
    <row r="79" spans="1:21">
      <c r="E79" s="7" t="s">
        <v>2580</v>
      </c>
      <c r="G79" s="1">
        <v>5.6</v>
      </c>
      <c r="H79" s="1">
        <v>4.2</v>
      </c>
      <c r="I79" s="1">
        <v>-10</v>
      </c>
      <c r="K79" s="1">
        <v>1.6</v>
      </c>
      <c r="L79" s="1">
        <v>10</v>
      </c>
      <c r="O79" s="1">
        <v>27.5</v>
      </c>
      <c r="P79" s="1">
        <v>0.8</v>
      </c>
      <c r="Q79" s="1">
        <v>12</v>
      </c>
    </row>
    <row r="80" spans="1:21">
      <c r="E80" s="7" t="s">
        <v>2580</v>
      </c>
      <c r="G80" s="1">
        <v>13.4</v>
      </c>
      <c r="H80" s="1">
        <v>9.5</v>
      </c>
      <c r="I80" s="1">
        <v>-11</v>
      </c>
      <c r="K80" s="1">
        <v>2.6</v>
      </c>
      <c r="L80" s="1">
        <v>10</v>
      </c>
      <c r="O80" s="1">
        <v>42.5</v>
      </c>
      <c r="P80" s="1">
        <v>0.6</v>
      </c>
      <c r="Q80" s="1">
        <v>8.4</v>
      </c>
    </row>
    <row r="81" spans="1:21">
      <c r="A81" t="s">
        <v>1315</v>
      </c>
      <c r="B81" s="8" t="s">
        <v>2373</v>
      </c>
      <c r="C81" t="s">
        <v>2374</v>
      </c>
      <c r="D81" s="7" t="s">
        <v>2375</v>
      </c>
      <c r="E81" s="7" t="s">
        <v>2756</v>
      </c>
      <c r="F81" s="1">
        <v>0.1</v>
      </c>
      <c r="G81" s="1">
        <v>22</v>
      </c>
      <c r="H81" s="1">
        <v>99</v>
      </c>
      <c r="J81" s="1">
        <v>229.6</v>
      </c>
      <c r="K81" s="1">
        <v>18.600000000000001</v>
      </c>
      <c r="L81" s="1">
        <v>5.5</v>
      </c>
      <c r="O81" s="1">
        <v>25</v>
      </c>
      <c r="P81" s="1">
        <v>1</v>
      </c>
      <c r="Q81" s="1">
        <v>7</v>
      </c>
      <c r="S81" s="1">
        <v>1.5</v>
      </c>
      <c r="T81" t="s">
        <v>2645</v>
      </c>
      <c r="U81" s="3" t="s">
        <v>5</v>
      </c>
    </row>
    <row r="82" spans="1:21">
      <c r="A82" t="s">
        <v>1315</v>
      </c>
      <c r="B82" s="8" t="s">
        <v>2376</v>
      </c>
      <c r="C82" t="s">
        <v>2377</v>
      </c>
      <c r="D82" s="7" t="s">
        <v>2378</v>
      </c>
      <c r="E82" s="7" t="s">
        <v>2578</v>
      </c>
      <c r="F82" s="1">
        <v>0.12</v>
      </c>
      <c r="G82" s="1">
        <v>19.899999999999999</v>
      </c>
      <c r="H82" s="1">
        <v>10.050000000000001</v>
      </c>
      <c r="K82" s="1">
        <v>9</v>
      </c>
      <c r="L82" s="1">
        <v>17</v>
      </c>
      <c r="N82" s="1">
        <v>0</v>
      </c>
      <c r="O82" s="1">
        <v>27</v>
      </c>
      <c r="Q82" s="1">
        <v>60</v>
      </c>
      <c r="S82" s="1">
        <v>0.3</v>
      </c>
      <c r="T82" t="s">
        <v>2646</v>
      </c>
      <c r="U82" s="3" t="s">
        <v>5</v>
      </c>
    </row>
    <row r="83" spans="1:21">
      <c r="A83" t="s">
        <v>1350</v>
      </c>
      <c r="B83" s="8" t="s">
        <v>2379</v>
      </c>
      <c r="C83" t="s">
        <v>2380</v>
      </c>
      <c r="D83" s="7" t="s">
        <v>2381</v>
      </c>
      <c r="E83" s="7" t="s">
        <v>2575</v>
      </c>
      <c r="F83" s="1">
        <v>2.8000000000000001E-2</v>
      </c>
      <c r="G83" s="1">
        <v>32.5</v>
      </c>
      <c r="H83" s="1">
        <v>91.25</v>
      </c>
      <c r="I83" s="1">
        <v>-5</v>
      </c>
      <c r="J83" s="1">
        <v>865</v>
      </c>
      <c r="K83" s="1">
        <v>108</v>
      </c>
      <c r="L83" s="1">
        <v>20</v>
      </c>
      <c r="O83" s="1">
        <v>23</v>
      </c>
      <c r="P83" s="1">
        <v>0.7</v>
      </c>
      <c r="Q83" s="1">
        <v>22</v>
      </c>
      <c r="S83" s="1">
        <v>0.45600000000000002</v>
      </c>
      <c r="T83" t="s">
        <v>2647</v>
      </c>
      <c r="U83" s="3" t="s">
        <v>5</v>
      </c>
    </row>
    <row r="84" spans="1:21">
      <c r="A84" t="s">
        <v>1350</v>
      </c>
      <c r="B84" s="8" t="s">
        <v>2382</v>
      </c>
      <c r="C84" t="s">
        <v>2383</v>
      </c>
      <c r="D84" s="7" t="s">
        <v>2384</v>
      </c>
      <c r="E84" s="7" t="s">
        <v>2756</v>
      </c>
      <c r="F84" s="1">
        <v>3.5000000000000003E-2</v>
      </c>
      <c r="G84" s="1">
        <v>7.6</v>
      </c>
      <c r="H84" s="1">
        <v>81.3</v>
      </c>
      <c r="J84" s="1">
        <v>171</v>
      </c>
      <c r="K84" s="1">
        <v>20.7</v>
      </c>
      <c r="L84" s="1">
        <v>6</v>
      </c>
      <c r="O84" s="1">
        <v>27.7</v>
      </c>
      <c r="P84" s="1">
        <v>0.5</v>
      </c>
      <c r="Q84" s="1">
        <v>17</v>
      </c>
      <c r="T84" t="s">
        <v>2648</v>
      </c>
      <c r="U84" s="3" t="s">
        <v>1100</v>
      </c>
    </row>
    <row r="85" spans="1:21">
      <c r="E85" s="7" t="s">
        <v>2756</v>
      </c>
      <c r="F85" s="1">
        <v>0.05</v>
      </c>
      <c r="G85" s="1">
        <v>25</v>
      </c>
      <c r="H85" s="1">
        <v>82.5</v>
      </c>
      <c r="J85" s="1">
        <v>196</v>
      </c>
      <c r="K85" s="1">
        <v>19.2</v>
      </c>
      <c r="L85" s="1">
        <v>6</v>
      </c>
      <c r="O85" s="1">
        <v>27.8</v>
      </c>
      <c r="P85" s="1">
        <v>0.4</v>
      </c>
      <c r="Q85" s="1">
        <v>28.8</v>
      </c>
    </row>
    <row r="86" spans="1:21">
      <c r="A86" t="s">
        <v>1358</v>
      </c>
      <c r="B86" s="8" t="s">
        <v>2385</v>
      </c>
      <c r="C86" t="s">
        <v>2386</v>
      </c>
      <c r="D86" s="7" t="s">
        <v>2387</v>
      </c>
      <c r="E86" s="77" t="s">
        <v>2578</v>
      </c>
      <c r="F86" s="6" t="s">
        <v>5</v>
      </c>
      <c r="G86" s="1">
        <v>1</v>
      </c>
      <c r="H86" s="1">
        <v>1.1000000000000001</v>
      </c>
      <c r="I86" s="1">
        <v>-7.5</v>
      </c>
      <c r="K86" s="1">
        <v>3.3</v>
      </c>
      <c r="L86" s="1">
        <v>16</v>
      </c>
      <c r="M86" s="1">
        <v>-53</v>
      </c>
      <c r="O86" s="1">
        <v>32</v>
      </c>
      <c r="P86" s="1">
        <v>0.85</v>
      </c>
      <c r="Q86" s="1">
        <v>6.6</v>
      </c>
      <c r="S86" s="1">
        <v>1.32</v>
      </c>
      <c r="T86" t="s">
        <v>2649</v>
      </c>
      <c r="U86" s="3" t="s">
        <v>5</v>
      </c>
    </row>
    <row r="87" spans="1:21" ht="18">
      <c r="A87" s="2" t="s">
        <v>3203</v>
      </c>
      <c r="B87" s="8" t="s">
        <v>2746</v>
      </c>
      <c r="C87" t="s">
        <v>2747</v>
      </c>
      <c r="D87" t="s">
        <v>2748</v>
      </c>
      <c r="E87" s="77" t="s">
        <v>2578</v>
      </c>
      <c r="F87" s="6"/>
      <c r="G87" s="1">
        <v>4</v>
      </c>
      <c r="H87" s="1">
        <v>6</v>
      </c>
      <c r="I87" s="1">
        <v>-6</v>
      </c>
      <c r="K87" s="1">
        <v>2.6</v>
      </c>
      <c r="L87" s="1">
        <v>17</v>
      </c>
      <c r="O87" s="1">
        <v>31</v>
      </c>
      <c r="Q87" s="1">
        <v>1</v>
      </c>
      <c r="T87" s="4" t="s">
        <v>2749</v>
      </c>
      <c r="U87" s="3"/>
    </row>
    <row r="88" spans="1:21">
      <c r="A88" s="2" t="s">
        <v>3203</v>
      </c>
      <c r="B88" s="8" t="s">
        <v>2750</v>
      </c>
      <c r="C88" t="s">
        <v>2751</v>
      </c>
      <c r="D88" t="s">
        <v>2752</v>
      </c>
      <c r="E88" s="77" t="s">
        <v>2578</v>
      </c>
      <c r="F88" s="6">
        <v>0.13</v>
      </c>
      <c r="G88" s="1">
        <v>21</v>
      </c>
      <c r="H88" s="1">
        <v>105.5</v>
      </c>
      <c r="I88" s="1">
        <v>-3</v>
      </c>
      <c r="K88" s="1">
        <v>77</v>
      </c>
      <c r="L88" s="1">
        <v>19</v>
      </c>
      <c r="O88" s="1">
        <v>20</v>
      </c>
      <c r="Q88" s="1">
        <v>2.8</v>
      </c>
      <c r="S88" s="1">
        <v>0.7</v>
      </c>
      <c r="T88" s="4" t="s">
        <v>2753</v>
      </c>
      <c r="U88" s="3"/>
    </row>
    <row r="89" spans="1:21">
      <c r="A89" s="2" t="s">
        <v>3203</v>
      </c>
      <c r="B89" s="8" t="s">
        <v>2754</v>
      </c>
      <c r="C89" t="s">
        <v>2757</v>
      </c>
      <c r="D89" s="7" t="s">
        <v>2755</v>
      </c>
      <c r="E89" s="77" t="s">
        <v>2756</v>
      </c>
      <c r="F89" s="6">
        <v>0.05</v>
      </c>
      <c r="G89" s="1">
        <v>30</v>
      </c>
      <c r="H89" s="1">
        <v>20</v>
      </c>
      <c r="K89" s="1">
        <v>10</v>
      </c>
      <c r="L89" s="1">
        <v>10</v>
      </c>
      <c r="O89" s="1">
        <v>30</v>
      </c>
      <c r="T89" s="83" t="s">
        <v>2758</v>
      </c>
      <c r="U89" s="3"/>
    </row>
    <row r="90" spans="1:21" ht="17.25">
      <c r="A90" s="2" t="s">
        <v>3203</v>
      </c>
      <c r="B90" s="8" t="s">
        <v>2779</v>
      </c>
      <c r="C90" t="s">
        <v>2780</v>
      </c>
      <c r="D90" t="s">
        <v>2781</v>
      </c>
      <c r="E90" s="77" t="s">
        <v>2756</v>
      </c>
      <c r="F90" s="6">
        <v>0.1</v>
      </c>
      <c r="G90" s="1">
        <v>4</v>
      </c>
      <c r="H90" s="1">
        <v>6</v>
      </c>
      <c r="J90" s="1">
        <v>32</v>
      </c>
      <c r="K90" s="1">
        <v>3.2</v>
      </c>
      <c r="L90" s="1">
        <v>5</v>
      </c>
      <c r="O90" s="1">
        <v>23</v>
      </c>
      <c r="P90" s="1">
        <v>0.6</v>
      </c>
      <c r="Q90" s="1">
        <v>0.3</v>
      </c>
      <c r="T90" s="4" t="s">
        <v>2782</v>
      </c>
      <c r="U90" s="3"/>
    </row>
    <row r="91" spans="1:21">
      <c r="A91" s="2" t="s">
        <v>3204</v>
      </c>
      <c r="B91" s="8" t="s">
        <v>3041</v>
      </c>
      <c r="C91" t="s">
        <v>3042</v>
      </c>
      <c r="D91" t="s">
        <v>3043</v>
      </c>
      <c r="E91" s="77" t="s">
        <v>2578</v>
      </c>
      <c r="F91" s="6"/>
      <c r="G91" s="1">
        <v>3</v>
      </c>
      <c r="H91" s="1">
        <v>4.5</v>
      </c>
      <c r="K91" s="1">
        <v>4.3</v>
      </c>
      <c r="L91" s="1">
        <v>15</v>
      </c>
      <c r="M91" s="1">
        <v>-30</v>
      </c>
      <c r="O91" s="1">
        <v>36</v>
      </c>
      <c r="P91" s="1">
        <v>0.3</v>
      </c>
      <c r="Q91" s="1">
        <v>1.8</v>
      </c>
      <c r="S91" s="1">
        <v>2.1</v>
      </c>
      <c r="T91" s="4" t="s">
        <v>3044</v>
      </c>
      <c r="U91" s="3"/>
    </row>
    <row r="92" spans="1:21">
      <c r="A92" s="2" t="s">
        <v>3204</v>
      </c>
      <c r="B92" s="8" t="s">
        <v>3061</v>
      </c>
      <c r="C92" t="s">
        <v>3062</v>
      </c>
      <c r="D92" t="s">
        <v>3063</v>
      </c>
      <c r="E92" s="77" t="s">
        <v>2578</v>
      </c>
      <c r="F92" s="6"/>
      <c r="G92" s="1">
        <v>2.9</v>
      </c>
      <c r="H92" s="1">
        <v>1.55</v>
      </c>
      <c r="K92" s="1">
        <v>4</v>
      </c>
      <c r="L92" s="1">
        <v>32</v>
      </c>
      <c r="P92" s="1">
        <v>0.4</v>
      </c>
      <c r="Q92" s="1">
        <v>0.96</v>
      </c>
      <c r="S92" s="1">
        <v>0.63</v>
      </c>
      <c r="T92" s="4" t="s">
        <v>3064</v>
      </c>
      <c r="U92" s="3"/>
    </row>
    <row r="93" spans="1:21">
      <c r="A93" s="2" t="s">
        <v>3164</v>
      </c>
      <c r="B93" s="8" t="s">
        <v>3209</v>
      </c>
      <c r="C93" t="s">
        <v>3210</v>
      </c>
      <c r="D93" t="s">
        <v>3211</v>
      </c>
      <c r="E93" s="77" t="s">
        <v>2575</v>
      </c>
      <c r="F93" s="6">
        <v>6.5000000000000002E-2</v>
      </c>
      <c r="G93" s="1">
        <v>1.4</v>
      </c>
      <c r="H93" s="1">
        <v>4.5999999999999996</v>
      </c>
      <c r="I93" s="1">
        <v>-10</v>
      </c>
      <c r="K93" s="1">
        <v>10.199999999999999</v>
      </c>
      <c r="L93" s="1">
        <v>16</v>
      </c>
      <c r="O93" s="1">
        <v>38.9</v>
      </c>
      <c r="P93" s="1">
        <v>1</v>
      </c>
      <c r="Q93" s="1">
        <v>23.1</v>
      </c>
      <c r="T93" s="4" t="s">
        <v>3212</v>
      </c>
      <c r="U93" s="3"/>
    </row>
    <row r="94" spans="1:21">
      <c r="A94" s="2"/>
      <c r="B94" s="8"/>
      <c r="E94" s="77" t="s">
        <v>2575</v>
      </c>
      <c r="F94" s="6">
        <v>6.5000000000000002E-2</v>
      </c>
      <c r="G94" s="1">
        <v>1.4</v>
      </c>
      <c r="H94" s="1">
        <v>4.5999999999999996</v>
      </c>
      <c r="I94" s="1">
        <v>-10</v>
      </c>
      <c r="K94" s="1">
        <v>11.4</v>
      </c>
      <c r="L94" s="1">
        <v>16</v>
      </c>
      <c r="O94" s="1">
        <v>35</v>
      </c>
      <c r="P94" s="1">
        <v>1</v>
      </c>
      <c r="Q94" s="1">
        <v>10.6</v>
      </c>
      <c r="T94" s="4"/>
      <c r="U94" s="3"/>
    </row>
    <row r="95" spans="1:21">
      <c r="A95" s="2" t="s">
        <v>3456</v>
      </c>
      <c r="B95" s="8" t="s">
        <v>3455</v>
      </c>
      <c r="C95" t="s">
        <v>3384</v>
      </c>
      <c r="D95" t="s">
        <v>3457</v>
      </c>
      <c r="E95" s="77" t="s">
        <v>2756</v>
      </c>
      <c r="F95" s="6">
        <v>0.05</v>
      </c>
      <c r="G95" s="1">
        <v>4</v>
      </c>
      <c r="H95" s="1">
        <v>6</v>
      </c>
      <c r="I95" s="1">
        <v>-9</v>
      </c>
      <c r="J95" s="1">
        <v>50</v>
      </c>
      <c r="K95" s="1">
        <v>2.7</v>
      </c>
      <c r="L95" s="1">
        <v>10</v>
      </c>
      <c r="O95" s="1">
        <v>31</v>
      </c>
      <c r="P95" s="1">
        <v>0.3</v>
      </c>
      <c r="Q95" s="1">
        <v>7.78</v>
      </c>
      <c r="S95" s="1">
        <v>2.5</v>
      </c>
      <c r="T95" s="4" t="s">
        <v>3454</v>
      </c>
      <c r="U95" s="3"/>
    </row>
    <row r="96" spans="1:21">
      <c r="E96" s="77" t="s">
        <v>2756</v>
      </c>
      <c r="F96" s="6">
        <v>0.05</v>
      </c>
      <c r="G96" s="1">
        <v>4</v>
      </c>
      <c r="H96" s="1">
        <v>6</v>
      </c>
      <c r="I96" s="1">
        <v>-10</v>
      </c>
      <c r="K96" s="1">
        <v>3.77</v>
      </c>
      <c r="L96" s="1">
        <v>10</v>
      </c>
      <c r="O96" s="1">
        <v>23.7</v>
      </c>
      <c r="P96" s="1">
        <v>0.1</v>
      </c>
      <c r="Q96" s="1">
        <v>0.77</v>
      </c>
      <c r="S96" s="1">
        <v>2.5</v>
      </c>
    </row>
    <row r="97" spans="1:21">
      <c r="A97" s="2" t="s">
        <v>3456</v>
      </c>
      <c r="B97" s="8" t="s">
        <v>3458</v>
      </c>
      <c r="C97" t="s">
        <v>3459</v>
      </c>
      <c r="D97" t="s">
        <v>3460</v>
      </c>
      <c r="E97" s="77" t="s">
        <v>2575</v>
      </c>
      <c r="F97" s="6">
        <v>0.04</v>
      </c>
      <c r="G97" s="1">
        <v>2.99</v>
      </c>
      <c r="H97" s="1">
        <v>1.5049999999999999</v>
      </c>
      <c r="I97" s="1">
        <v>-8</v>
      </c>
      <c r="J97" s="1">
        <v>45</v>
      </c>
      <c r="L97" s="1">
        <v>4</v>
      </c>
      <c r="O97" s="1">
        <v>29</v>
      </c>
      <c r="Q97" s="1">
        <v>19.399999999999999</v>
      </c>
      <c r="R97" s="1">
        <v>1.7999999999999999E-2</v>
      </c>
      <c r="T97" s="4" t="s">
        <v>3461</v>
      </c>
      <c r="U97" s="3"/>
    </row>
    <row r="98" spans="1:21">
      <c r="A98" s="2" t="s">
        <v>3456</v>
      </c>
      <c r="B98" s="8" t="s">
        <v>3472</v>
      </c>
      <c r="C98" t="s">
        <v>3473</v>
      </c>
      <c r="D98" t="s">
        <v>3474</v>
      </c>
      <c r="E98" s="77" t="s">
        <v>3242</v>
      </c>
      <c r="F98" s="6"/>
      <c r="G98" s="1">
        <v>4</v>
      </c>
      <c r="H98" s="1">
        <v>5.5</v>
      </c>
      <c r="I98" s="1">
        <v>-3</v>
      </c>
      <c r="J98" s="1">
        <v>54.7</v>
      </c>
      <c r="K98" s="1">
        <v>5</v>
      </c>
      <c r="L98" s="1">
        <v>3.6</v>
      </c>
      <c r="M98" s="1">
        <v>-18</v>
      </c>
      <c r="O98" s="1">
        <v>30</v>
      </c>
      <c r="P98" s="1">
        <v>2</v>
      </c>
      <c r="T98" s="4" t="s">
        <v>3475</v>
      </c>
      <c r="U98" s="3"/>
    </row>
    <row r="99" spans="1:21">
      <c r="A99" s="2" t="s">
        <v>3624</v>
      </c>
      <c r="B99" s="8" t="s">
        <v>3652</v>
      </c>
      <c r="C99" t="s">
        <v>3653</v>
      </c>
      <c r="D99" t="s">
        <v>3654</v>
      </c>
      <c r="E99" s="77" t="s">
        <v>2575</v>
      </c>
      <c r="F99" s="6">
        <v>0.04</v>
      </c>
      <c r="G99" s="1">
        <v>2.19</v>
      </c>
      <c r="H99" s="1">
        <v>1.0549999999999999</v>
      </c>
      <c r="I99" s="1">
        <v>-8</v>
      </c>
      <c r="J99" s="1">
        <v>209</v>
      </c>
      <c r="K99" s="1">
        <v>28.7</v>
      </c>
      <c r="L99" s="1">
        <v>4</v>
      </c>
      <c r="O99" s="1">
        <v>42.7</v>
      </c>
      <c r="P99" s="1">
        <v>1</v>
      </c>
      <c r="Q99" s="1">
        <v>5.3</v>
      </c>
      <c r="R99" s="1">
        <v>1.7000000000000001E-2</v>
      </c>
      <c r="T99" s="4" t="s">
        <v>3655</v>
      </c>
      <c r="U99" s="3"/>
    </row>
    <row r="100" spans="1:21">
      <c r="A100" s="2" t="s">
        <v>3624</v>
      </c>
      <c r="B100" s="8" t="s">
        <v>3680</v>
      </c>
      <c r="C100" t="s">
        <v>3681</v>
      </c>
      <c r="D100" t="s">
        <v>3682</v>
      </c>
      <c r="E100" s="77" t="s">
        <v>2575</v>
      </c>
      <c r="F100" s="6">
        <v>2.8000000000000001E-2</v>
      </c>
      <c r="G100" s="1">
        <v>10.1</v>
      </c>
      <c r="H100" s="1">
        <v>5.05</v>
      </c>
      <c r="I100" s="1">
        <v>-9</v>
      </c>
      <c r="J100" s="1">
        <v>191</v>
      </c>
      <c r="K100" s="1">
        <v>26</v>
      </c>
      <c r="L100" s="1">
        <v>4.2</v>
      </c>
      <c r="O100" s="1">
        <v>30</v>
      </c>
      <c r="P100" s="1">
        <v>1</v>
      </c>
      <c r="Q100" s="1">
        <v>23.2</v>
      </c>
      <c r="R100" s="1">
        <v>3.0000000000000001E-3</v>
      </c>
      <c r="S100" s="1">
        <v>0.32</v>
      </c>
      <c r="T100" s="4" t="s">
        <v>3683</v>
      </c>
      <c r="U100" s="3"/>
    </row>
    <row r="101" spans="1:21">
      <c r="A101" s="2"/>
      <c r="B101" s="8"/>
      <c r="E101" s="77" t="s">
        <v>2575</v>
      </c>
      <c r="F101" s="6">
        <v>2.8000000000000001E-2</v>
      </c>
      <c r="G101" s="1">
        <v>7.2</v>
      </c>
      <c r="H101" s="1">
        <v>3.6</v>
      </c>
      <c r="I101" s="1">
        <v>-9</v>
      </c>
      <c r="J101" s="1">
        <v>129</v>
      </c>
      <c r="K101" s="1">
        <v>11</v>
      </c>
      <c r="L101" s="1">
        <v>4.2</v>
      </c>
      <c r="O101" s="1">
        <v>32.5</v>
      </c>
      <c r="P101" s="1">
        <v>1</v>
      </c>
      <c r="Q101" s="1">
        <v>31.4</v>
      </c>
      <c r="R101" s="1">
        <v>3.0000000000000001E-3</v>
      </c>
      <c r="S101" s="1">
        <v>0.32</v>
      </c>
      <c r="T101" s="4"/>
      <c r="U101" s="3"/>
    </row>
    <row r="102" spans="1:21">
      <c r="A102" s="2"/>
      <c r="B102" s="8"/>
      <c r="E102" s="77" t="s">
        <v>2575</v>
      </c>
      <c r="F102" s="6">
        <v>2.8000000000000001E-2</v>
      </c>
      <c r="G102" s="1">
        <v>3.6</v>
      </c>
      <c r="H102" s="1">
        <v>1.8</v>
      </c>
      <c r="I102" s="1">
        <v>-9</v>
      </c>
      <c r="J102" s="1">
        <v>92</v>
      </c>
      <c r="K102" s="1">
        <v>4.7</v>
      </c>
      <c r="L102" s="1">
        <v>4.2</v>
      </c>
      <c r="O102" s="1">
        <v>34</v>
      </c>
      <c r="P102" s="1">
        <v>1</v>
      </c>
      <c r="Q102" s="1">
        <v>40.1</v>
      </c>
      <c r="R102" s="1">
        <v>4.0000000000000001E-3</v>
      </c>
      <c r="S102" s="1">
        <v>0.32</v>
      </c>
      <c r="T102" s="4"/>
      <c r="U102" s="3"/>
    </row>
    <row r="103" spans="1:21">
      <c r="A103" s="2"/>
      <c r="B103" s="8"/>
      <c r="E103" s="77" t="s">
        <v>2575</v>
      </c>
      <c r="F103" s="6">
        <v>2.8000000000000001E-2</v>
      </c>
      <c r="G103" s="1">
        <v>13</v>
      </c>
      <c r="H103" s="1">
        <v>6.5</v>
      </c>
      <c r="I103" s="1">
        <v>-9</v>
      </c>
      <c r="J103" s="1">
        <v>238</v>
      </c>
      <c r="K103" s="1">
        <v>37</v>
      </c>
      <c r="L103" s="1">
        <v>4.2</v>
      </c>
      <c r="O103" s="1">
        <v>32</v>
      </c>
      <c r="P103" s="1">
        <v>1</v>
      </c>
      <c r="Q103" s="1">
        <v>20.7</v>
      </c>
      <c r="R103" s="1">
        <v>0.37</v>
      </c>
      <c r="S103" s="1">
        <v>0.74</v>
      </c>
      <c r="T103" s="4"/>
      <c r="U103" s="3"/>
    </row>
    <row r="104" spans="1:21">
      <c r="A104" s="46" t="s">
        <v>1365</v>
      </c>
      <c r="B104" s="46"/>
      <c r="C104" s="46"/>
      <c r="D104" s="46"/>
      <c r="E104" s="46"/>
      <c r="F104" s="93"/>
      <c r="G104" s="93"/>
      <c r="H104" s="93"/>
      <c r="I104" s="93"/>
      <c r="J104" s="93"/>
      <c r="K104" s="93"/>
      <c r="L104" s="93"/>
      <c r="M104" s="93"/>
      <c r="N104" s="93"/>
      <c r="O104" s="93"/>
      <c r="P104" s="93"/>
      <c r="Q104" s="93"/>
      <c r="R104" s="93"/>
      <c r="S104" s="93"/>
      <c r="T104" s="46"/>
    </row>
    <row r="105" spans="1:21">
      <c r="A105" t="s">
        <v>1370</v>
      </c>
      <c r="B105" t="s">
        <v>2388</v>
      </c>
      <c r="C105" t="s">
        <v>2389</v>
      </c>
      <c r="D105" s="7" t="s">
        <v>2390</v>
      </c>
      <c r="E105" s="7" t="s">
        <v>3242</v>
      </c>
      <c r="F105" s="6" t="s">
        <v>5</v>
      </c>
      <c r="G105" s="1">
        <v>1.2</v>
      </c>
      <c r="H105" s="1">
        <v>4</v>
      </c>
      <c r="J105" s="1">
        <v>30</v>
      </c>
      <c r="K105" s="1">
        <v>2.8</v>
      </c>
      <c r="L105" s="1">
        <v>12</v>
      </c>
      <c r="O105" s="1">
        <v>28</v>
      </c>
      <c r="Q105" s="1">
        <v>12</v>
      </c>
      <c r="T105" t="s">
        <v>2650</v>
      </c>
      <c r="U105" s="3" t="s">
        <v>1257</v>
      </c>
    </row>
    <row r="106" spans="1:21">
      <c r="E106" s="7" t="s">
        <v>3242</v>
      </c>
      <c r="G106" s="1">
        <v>4</v>
      </c>
      <c r="H106" s="1">
        <v>6</v>
      </c>
      <c r="J106" s="1">
        <v>35</v>
      </c>
      <c r="K106" s="1">
        <v>5</v>
      </c>
      <c r="L106" s="1">
        <v>12</v>
      </c>
      <c r="O106" s="1">
        <v>26</v>
      </c>
      <c r="Q106" s="1">
        <v>12</v>
      </c>
    </row>
    <row r="107" spans="1:21">
      <c r="E107" s="7" t="s">
        <v>3242</v>
      </c>
      <c r="G107" s="1">
        <v>1</v>
      </c>
      <c r="H107" s="1">
        <v>8.5</v>
      </c>
      <c r="J107" s="1">
        <v>45</v>
      </c>
      <c r="K107" s="1">
        <v>5</v>
      </c>
      <c r="L107" s="1">
        <v>12</v>
      </c>
      <c r="O107" s="1">
        <v>27</v>
      </c>
      <c r="Q107" s="1">
        <v>12</v>
      </c>
    </row>
    <row r="108" spans="1:21">
      <c r="A108" t="s">
        <v>1392</v>
      </c>
      <c r="B108" t="s">
        <v>2391</v>
      </c>
      <c r="C108" t="s">
        <v>2392</v>
      </c>
      <c r="D108" s="7" t="s">
        <v>2393</v>
      </c>
      <c r="E108" s="77" t="s">
        <v>5</v>
      </c>
      <c r="F108" s="6" t="s">
        <v>5</v>
      </c>
      <c r="G108" s="1">
        <v>6.7</v>
      </c>
      <c r="H108" s="1">
        <v>8.65</v>
      </c>
      <c r="K108" s="1">
        <v>8</v>
      </c>
      <c r="L108" s="1">
        <v>4</v>
      </c>
      <c r="O108" s="1">
        <v>28</v>
      </c>
      <c r="P108" s="1">
        <v>0.8</v>
      </c>
      <c r="Q108" s="1">
        <v>18.399999999999999</v>
      </c>
      <c r="T108" s="4" t="s">
        <v>2581</v>
      </c>
      <c r="U108" s="3" t="s">
        <v>5</v>
      </c>
    </row>
    <row r="109" spans="1:21">
      <c r="A109" t="s">
        <v>1499</v>
      </c>
      <c r="B109" s="8" t="s">
        <v>2394</v>
      </c>
      <c r="C109" t="s">
        <v>2395</v>
      </c>
      <c r="D109" s="7" t="s">
        <v>2396</v>
      </c>
      <c r="E109" s="7" t="s">
        <v>2578</v>
      </c>
      <c r="F109" s="1">
        <v>0.13</v>
      </c>
      <c r="G109" s="1">
        <v>2</v>
      </c>
      <c r="H109" s="1">
        <v>9.5</v>
      </c>
      <c r="J109" s="1">
        <v>175</v>
      </c>
      <c r="K109" s="1">
        <v>21</v>
      </c>
      <c r="L109" s="1">
        <v>15</v>
      </c>
      <c r="O109" s="1">
        <v>16</v>
      </c>
      <c r="Q109" s="1">
        <v>2.25</v>
      </c>
      <c r="T109" s="4" t="s">
        <v>2582</v>
      </c>
      <c r="U109" s="3" t="s">
        <v>1100</v>
      </c>
    </row>
    <row r="110" spans="1:21">
      <c r="E110" s="7" t="s">
        <v>2578</v>
      </c>
      <c r="F110" s="1">
        <v>0.13</v>
      </c>
      <c r="G110" s="1">
        <v>4</v>
      </c>
      <c r="H110" s="1">
        <v>10</v>
      </c>
      <c r="I110" s="1">
        <v>-10</v>
      </c>
      <c r="J110" s="1">
        <v>165</v>
      </c>
      <c r="K110" s="1">
        <v>19</v>
      </c>
      <c r="L110" s="1">
        <v>15</v>
      </c>
      <c r="O110" s="1">
        <v>16</v>
      </c>
      <c r="Q110" s="1">
        <v>2</v>
      </c>
    </row>
    <row r="111" spans="1:21">
      <c r="A111" t="s">
        <v>2397</v>
      </c>
      <c r="B111" s="8" t="s">
        <v>2398</v>
      </c>
      <c r="C111" t="s">
        <v>2399</v>
      </c>
      <c r="D111" s="8" t="s">
        <v>2400</v>
      </c>
      <c r="E111" s="8" t="s">
        <v>2578</v>
      </c>
      <c r="F111" s="1">
        <v>0.12</v>
      </c>
      <c r="G111" s="1">
        <v>5</v>
      </c>
      <c r="H111" s="1">
        <v>2.5</v>
      </c>
      <c r="I111" s="1">
        <v>-7.5</v>
      </c>
      <c r="J111" s="1">
        <v>67</v>
      </c>
      <c r="K111" s="1">
        <v>3.7</v>
      </c>
      <c r="L111" s="1">
        <v>15</v>
      </c>
      <c r="M111" s="1">
        <v>-41.2</v>
      </c>
      <c r="N111" s="1">
        <v>-25.8</v>
      </c>
      <c r="O111" s="1">
        <v>31.7</v>
      </c>
      <c r="Q111" s="1">
        <v>20</v>
      </c>
      <c r="S111" s="1">
        <v>0.3</v>
      </c>
      <c r="T111" t="s">
        <v>2651</v>
      </c>
      <c r="U111" s="3" t="s">
        <v>5</v>
      </c>
    </row>
    <row r="112" spans="1:21">
      <c r="A112" t="s">
        <v>1577</v>
      </c>
      <c r="B112" s="8" t="s">
        <v>2401</v>
      </c>
      <c r="C112" t="s">
        <v>2402</v>
      </c>
      <c r="D112" s="7" t="s">
        <v>2403</v>
      </c>
      <c r="E112" s="7" t="s">
        <v>2579</v>
      </c>
      <c r="F112" s="1">
        <v>0.1</v>
      </c>
      <c r="G112" s="1">
        <v>60</v>
      </c>
      <c r="H112" s="1">
        <v>110</v>
      </c>
      <c r="K112" s="1">
        <v>60</v>
      </c>
      <c r="L112" s="1">
        <v>20</v>
      </c>
      <c r="O112" s="1">
        <v>21</v>
      </c>
      <c r="P112" s="1">
        <v>0.9</v>
      </c>
      <c r="Q112" s="1">
        <v>25.2</v>
      </c>
      <c r="T112" t="s">
        <v>2652</v>
      </c>
      <c r="U112" s="3" t="s">
        <v>5</v>
      </c>
    </row>
    <row r="113" spans="1:21">
      <c r="A113" t="s">
        <v>1606</v>
      </c>
      <c r="B113" s="8" t="s">
        <v>2404</v>
      </c>
      <c r="C113" t="s">
        <v>2405</v>
      </c>
      <c r="D113" s="7" t="s">
        <v>2406</v>
      </c>
      <c r="E113" s="7" t="s">
        <v>2579</v>
      </c>
      <c r="F113" s="1">
        <v>0.1</v>
      </c>
      <c r="G113" s="1">
        <v>5</v>
      </c>
      <c r="H113" s="1">
        <v>10</v>
      </c>
      <c r="I113" s="1">
        <v>-15</v>
      </c>
      <c r="K113" s="1">
        <v>10.5</v>
      </c>
      <c r="L113" s="1">
        <v>15</v>
      </c>
      <c r="O113" s="1">
        <v>24.7</v>
      </c>
      <c r="Q113" s="1">
        <v>41</v>
      </c>
      <c r="S113" s="1">
        <v>4.5</v>
      </c>
      <c r="T113" t="s">
        <v>2653</v>
      </c>
      <c r="U113" s="3" t="s">
        <v>1100</v>
      </c>
    </row>
    <row r="114" spans="1:21">
      <c r="E114" s="7" t="s">
        <v>2579</v>
      </c>
      <c r="F114" s="1">
        <v>0.1</v>
      </c>
      <c r="G114" s="1">
        <v>4.8</v>
      </c>
      <c r="H114" s="1">
        <v>7.2</v>
      </c>
      <c r="I114" s="1">
        <v>-10</v>
      </c>
      <c r="K114" s="1">
        <v>8.1</v>
      </c>
      <c r="L114" s="1">
        <v>15</v>
      </c>
      <c r="O114" s="1">
        <v>27.2</v>
      </c>
      <c r="Q114" s="1">
        <v>12</v>
      </c>
      <c r="S114" s="1">
        <v>2.5</v>
      </c>
    </row>
    <row r="115" spans="1:21">
      <c r="A115" t="s">
        <v>1616</v>
      </c>
      <c r="B115" s="8" t="s">
        <v>2407</v>
      </c>
      <c r="C115" t="s">
        <v>2408</v>
      </c>
      <c r="D115" s="7" t="s">
        <v>2409</v>
      </c>
      <c r="E115" s="7" t="s">
        <v>2580</v>
      </c>
      <c r="F115" s="1">
        <v>0.11</v>
      </c>
      <c r="G115" s="1">
        <v>3.5</v>
      </c>
      <c r="H115" s="1">
        <v>6.25</v>
      </c>
      <c r="I115" s="1">
        <v>-7</v>
      </c>
      <c r="J115" s="1">
        <v>150</v>
      </c>
      <c r="K115" s="1">
        <v>19</v>
      </c>
      <c r="L115" s="1">
        <v>13</v>
      </c>
      <c r="O115" s="1">
        <v>24</v>
      </c>
      <c r="P115" s="1">
        <v>0.3</v>
      </c>
      <c r="Q115" s="1">
        <v>6</v>
      </c>
      <c r="T115" t="s">
        <v>2654</v>
      </c>
      <c r="U115" s="3" t="s">
        <v>5</v>
      </c>
    </row>
    <row r="116" spans="1:21">
      <c r="A116" t="s">
        <v>1689</v>
      </c>
      <c r="B116" s="8" t="s">
        <v>2410</v>
      </c>
      <c r="C116" t="s">
        <v>2411</v>
      </c>
      <c r="D116" s="7" t="s">
        <v>2412</v>
      </c>
      <c r="E116" s="7" t="s">
        <v>2756</v>
      </c>
      <c r="F116" s="1">
        <v>3.5000000000000003E-2</v>
      </c>
      <c r="G116" s="1">
        <v>40</v>
      </c>
      <c r="H116" s="1">
        <v>210</v>
      </c>
      <c r="J116" s="1">
        <v>600</v>
      </c>
      <c r="K116" s="1">
        <v>85</v>
      </c>
      <c r="L116" s="1">
        <v>22</v>
      </c>
      <c r="O116" s="1">
        <v>31</v>
      </c>
      <c r="P116" s="1">
        <v>0.69</v>
      </c>
      <c r="Q116" s="1">
        <v>10.5</v>
      </c>
      <c r="T116" t="s">
        <v>2655</v>
      </c>
      <c r="U116" s="3" t="s">
        <v>5</v>
      </c>
    </row>
    <row r="117" spans="1:21">
      <c r="A117" t="s">
        <v>1795</v>
      </c>
      <c r="B117" s="8" t="s">
        <v>2413</v>
      </c>
      <c r="C117" t="s">
        <v>2414</v>
      </c>
      <c r="D117" s="7" t="s">
        <v>2415</v>
      </c>
      <c r="E117" s="7" t="s">
        <v>2578</v>
      </c>
      <c r="F117" s="1">
        <v>0.13</v>
      </c>
      <c r="G117" s="1">
        <v>13</v>
      </c>
      <c r="H117" s="1">
        <v>58.5</v>
      </c>
      <c r="I117" s="1">
        <v>-3</v>
      </c>
      <c r="J117" s="1">
        <v>670.8</v>
      </c>
      <c r="K117" s="1">
        <v>191</v>
      </c>
      <c r="L117" s="1">
        <v>20</v>
      </c>
      <c r="O117" s="1">
        <v>19</v>
      </c>
      <c r="P117" s="1">
        <v>2.1</v>
      </c>
      <c r="Q117" s="1">
        <v>6.3</v>
      </c>
      <c r="S117" s="1">
        <v>0.2</v>
      </c>
      <c r="T117" t="s">
        <v>2656</v>
      </c>
      <c r="U117" s="3" t="s">
        <v>5</v>
      </c>
    </row>
    <row r="118" spans="1:21" ht="18">
      <c r="A118" s="82">
        <v>43922</v>
      </c>
      <c r="B118" s="8" t="s">
        <v>2572</v>
      </c>
      <c r="C118" t="s">
        <v>2573</v>
      </c>
      <c r="D118" t="s">
        <v>2574</v>
      </c>
      <c r="E118" t="s">
        <v>2575</v>
      </c>
      <c r="F118" s="1">
        <v>0.18</v>
      </c>
      <c r="G118" s="1">
        <v>0.7</v>
      </c>
      <c r="H118" s="1">
        <v>6.9</v>
      </c>
      <c r="I118" s="1">
        <v>-10</v>
      </c>
      <c r="K118" s="1">
        <v>78</v>
      </c>
      <c r="L118" s="1">
        <v>77</v>
      </c>
      <c r="N118" s="1">
        <v>-3</v>
      </c>
      <c r="O118" s="1">
        <v>18</v>
      </c>
      <c r="Q118" s="1">
        <v>19</v>
      </c>
      <c r="S118" s="1">
        <f>0.546*1.014</f>
        <v>0.55364400000000002</v>
      </c>
      <c r="T118" s="4" t="s">
        <v>2584</v>
      </c>
    </row>
    <row r="119" spans="1:21">
      <c r="A119" t="s">
        <v>3147</v>
      </c>
      <c r="B119" t="s">
        <v>3238</v>
      </c>
      <c r="C119" t="s">
        <v>3239</v>
      </c>
      <c r="D119" t="s">
        <v>3240</v>
      </c>
      <c r="E119" s="1" t="s">
        <v>3242</v>
      </c>
      <c r="F119" s="1">
        <v>0.05</v>
      </c>
      <c r="G119" s="1">
        <v>49</v>
      </c>
      <c r="H119" s="1">
        <v>91.5</v>
      </c>
      <c r="I119" s="1">
        <v>-5</v>
      </c>
      <c r="J119" s="1">
        <v>153</v>
      </c>
      <c r="K119" s="1">
        <v>13.6</v>
      </c>
      <c r="L119" s="1">
        <v>15</v>
      </c>
      <c r="O119" s="1">
        <v>28.9</v>
      </c>
      <c r="P119" s="1">
        <v>0.7</v>
      </c>
      <c r="Q119" s="1">
        <v>14.6</v>
      </c>
      <c r="T119" s="4" t="s">
        <v>3243</v>
      </c>
    </row>
    <row r="120" spans="1:21">
      <c r="A120" t="s">
        <v>3113</v>
      </c>
      <c r="B120" s="8" t="s">
        <v>3244</v>
      </c>
      <c r="C120" t="s">
        <v>3245</v>
      </c>
      <c r="D120" s="7" t="s">
        <v>3246</v>
      </c>
      <c r="E120" s="7" t="s">
        <v>2575</v>
      </c>
      <c r="F120" s="1">
        <v>6.5000000000000002E-2</v>
      </c>
      <c r="G120" s="1">
        <v>0.9</v>
      </c>
      <c r="H120" s="1">
        <v>1.35</v>
      </c>
      <c r="I120" s="1">
        <v>-10</v>
      </c>
      <c r="J120" s="1">
        <v>12</v>
      </c>
      <c r="K120" s="1">
        <v>2.2999999999999998</v>
      </c>
      <c r="L120" s="1">
        <v>20</v>
      </c>
      <c r="O120" s="1">
        <v>37.200000000000003</v>
      </c>
      <c r="P120" s="1">
        <v>1.2</v>
      </c>
      <c r="Q120" s="1">
        <v>115</v>
      </c>
      <c r="T120" s="4" t="s">
        <v>3247</v>
      </c>
    </row>
    <row r="121" spans="1:21">
      <c r="A121" t="s">
        <v>3400</v>
      </c>
      <c r="B121" s="8" t="s">
        <v>3503</v>
      </c>
      <c r="C121" t="s">
        <v>3504</v>
      </c>
      <c r="D121" s="7" t="s">
        <v>3505</v>
      </c>
      <c r="E121" s="7" t="s">
        <v>2578</v>
      </c>
      <c r="F121" s="1">
        <v>0.13</v>
      </c>
      <c r="G121" s="1">
        <v>6</v>
      </c>
      <c r="H121" s="1">
        <v>59</v>
      </c>
      <c r="L121" s="1">
        <v>4.3</v>
      </c>
      <c r="M121" s="1">
        <v>-27</v>
      </c>
      <c r="O121" s="1">
        <v>18.3</v>
      </c>
      <c r="P121" s="1">
        <v>1</v>
      </c>
      <c r="Q121" s="1">
        <v>0.56100000000000005</v>
      </c>
      <c r="S121" s="1">
        <v>0.56799999999999995</v>
      </c>
      <c r="T121" t="s">
        <v>3506</v>
      </c>
    </row>
    <row r="122" spans="1:21">
      <c r="A122" t="s">
        <v>3581</v>
      </c>
      <c r="B122" s="8" t="s">
        <v>3576</v>
      </c>
      <c r="C122" t="s">
        <v>3577</v>
      </c>
      <c r="E122" s="7" t="s">
        <v>2575</v>
      </c>
      <c r="F122" s="1">
        <v>2.1999999999999999E-2</v>
      </c>
      <c r="G122" s="1">
        <v>2</v>
      </c>
      <c r="H122" s="1">
        <v>5</v>
      </c>
      <c r="I122" s="1">
        <v>-10</v>
      </c>
      <c r="J122" s="1">
        <v>170</v>
      </c>
      <c r="K122" s="1">
        <v>3.5</v>
      </c>
      <c r="L122" s="1">
        <v>8</v>
      </c>
      <c r="M122" s="1">
        <v>-40</v>
      </c>
      <c r="O122" s="1">
        <v>38</v>
      </c>
      <c r="P122" s="1">
        <v>0.6</v>
      </c>
      <c r="Q122" s="1">
        <v>15.8</v>
      </c>
      <c r="S122" s="1">
        <v>1.2284999999999999</v>
      </c>
      <c r="T122" t="s">
        <v>3578</v>
      </c>
    </row>
    <row r="123" spans="1:21">
      <c r="E123" s="7" t="s">
        <v>2575</v>
      </c>
      <c r="F123" s="1">
        <v>2.1999999999999999E-2</v>
      </c>
      <c r="G123" s="1">
        <v>2</v>
      </c>
      <c r="H123" s="1">
        <v>5</v>
      </c>
      <c r="I123" s="1">
        <v>-10</v>
      </c>
      <c r="J123" s="1">
        <v>170</v>
      </c>
      <c r="K123" s="1">
        <v>4.2</v>
      </c>
      <c r="L123" s="1">
        <v>8</v>
      </c>
      <c r="M123" s="1">
        <v>-40</v>
      </c>
      <c r="O123" s="1">
        <v>33</v>
      </c>
      <c r="P123" s="1">
        <v>0.3</v>
      </c>
      <c r="Q123" s="1">
        <v>4.5</v>
      </c>
      <c r="S123" s="1">
        <v>1.2284999999999999</v>
      </c>
    </row>
    <row r="124" spans="1:21">
      <c r="A124" t="s">
        <v>3592</v>
      </c>
      <c r="B124" s="8" t="s">
        <v>3700</v>
      </c>
      <c r="C124" t="s">
        <v>3702</v>
      </c>
      <c r="D124" t="s">
        <v>3703</v>
      </c>
      <c r="E124" s="7" t="s">
        <v>2756</v>
      </c>
      <c r="F124" s="1">
        <v>0.1</v>
      </c>
      <c r="G124" s="1">
        <v>4</v>
      </c>
      <c r="H124" s="1">
        <v>6</v>
      </c>
      <c r="I124" s="1">
        <v>-10</v>
      </c>
      <c r="K124" s="1">
        <v>3.5</v>
      </c>
      <c r="L124" s="1">
        <v>5</v>
      </c>
      <c r="O124" s="1">
        <v>35.1</v>
      </c>
      <c r="P124" s="1">
        <v>1.2</v>
      </c>
      <c r="Q124" s="1">
        <v>39.6</v>
      </c>
      <c r="T124" t="s">
        <v>3701</v>
      </c>
    </row>
    <row r="125" spans="1:21">
      <c r="A125" t="s">
        <v>3587</v>
      </c>
      <c r="B125" s="8" t="s">
        <v>3726</v>
      </c>
      <c r="C125" t="s">
        <v>3727</v>
      </c>
      <c r="D125" t="s">
        <v>3728</v>
      </c>
      <c r="E125" s="7" t="s">
        <v>2578</v>
      </c>
      <c r="F125" s="1">
        <v>4.4999999999999998E-2</v>
      </c>
      <c r="G125" s="1">
        <v>3</v>
      </c>
      <c r="H125" s="1">
        <v>4.5</v>
      </c>
      <c r="I125" s="1">
        <v>-3</v>
      </c>
      <c r="K125" s="1">
        <v>2.6</v>
      </c>
      <c r="L125" s="1">
        <v>7</v>
      </c>
      <c r="O125" s="1">
        <v>39.200000000000003</v>
      </c>
      <c r="P125" s="1">
        <v>0.4</v>
      </c>
      <c r="Q125" s="1">
        <v>1.6</v>
      </c>
      <c r="S125" s="1">
        <v>1.1559999999999999</v>
      </c>
      <c r="T125" t="s">
        <v>3729</v>
      </c>
    </row>
    <row r="126" spans="1:21">
      <c r="A126" t="s">
        <v>3954</v>
      </c>
      <c r="B126" s="8" t="s">
        <v>3730</v>
      </c>
      <c r="C126" t="s">
        <v>3731</v>
      </c>
      <c r="D126" t="s">
        <v>3732</v>
      </c>
      <c r="E126" s="7" t="s">
        <v>2575</v>
      </c>
      <c r="F126" s="1">
        <v>0.18</v>
      </c>
      <c r="G126" s="1">
        <v>5.7</v>
      </c>
      <c r="H126" s="1">
        <v>5.75</v>
      </c>
      <c r="J126" s="1">
        <v>195</v>
      </c>
      <c r="K126" s="1">
        <v>42.9</v>
      </c>
      <c r="L126" s="1">
        <v>4</v>
      </c>
      <c r="M126" s="1">
        <v>-9</v>
      </c>
      <c r="N126" s="1">
        <v>-4</v>
      </c>
      <c r="O126" s="1">
        <v>14.23</v>
      </c>
      <c r="Q126" s="1">
        <v>10.3</v>
      </c>
      <c r="R126" s="1">
        <v>0.33</v>
      </c>
      <c r="T126" s="4" t="s">
        <v>3733</v>
      </c>
    </row>
    <row r="127" spans="1:21">
      <c r="A127" t="s">
        <v>3954</v>
      </c>
      <c r="B127" t="s">
        <v>3742</v>
      </c>
      <c r="C127" t="s">
        <v>3743</v>
      </c>
      <c r="D127" t="s">
        <v>3744</v>
      </c>
      <c r="E127" s="7" t="s">
        <v>2575</v>
      </c>
      <c r="F127" s="1">
        <v>1.6E-2</v>
      </c>
      <c r="G127" s="1">
        <v>4.7</v>
      </c>
      <c r="H127" s="1">
        <v>4.55</v>
      </c>
      <c r="I127" s="1">
        <v>-3.5</v>
      </c>
      <c r="J127" s="1">
        <v>265</v>
      </c>
      <c r="K127" s="1">
        <v>25</v>
      </c>
      <c r="L127" s="1">
        <v>18</v>
      </c>
      <c r="N127" s="1">
        <v>-29</v>
      </c>
      <c r="O127" s="1">
        <v>31.4</v>
      </c>
      <c r="P127" s="1">
        <v>1</v>
      </c>
      <c r="Q127" s="1">
        <v>4</v>
      </c>
      <c r="R127" s="1">
        <v>0.04</v>
      </c>
      <c r="T127" s="4" t="s">
        <v>3745</v>
      </c>
    </row>
    <row r="128" spans="1:21">
      <c r="A128" t="s">
        <v>3753</v>
      </c>
      <c r="B128" s="8" t="s">
        <v>3953</v>
      </c>
      <c r="C128" t="s">
        <v>3955</v>
      </c>
      <c r="D128" t="s">
        <v>3956</v>
      </c>
      <c r="E128" s="7" t="s">
        <v>2575</v>
      </c>
      <c r="F128" s="1">
        <v>2.8000000000000001E-2</v>
      </c>
      <c r="G128" s="1">
        <v>2.2000000000000002</v>
      </c>
      <c r="H128" s="1">
        <v>8.4</v>
      </c>
      <c r="I128" s="1">
        <v>-10</v>
      </c>
      <c r="K128" s="1">
        <v>25</v>
      </c>
      <c r="L128" s="1">
        <v>10</v>
      </c>
      <c r="M128" s="1">
        <v>-47.2</v>
      </c>
      <c r="N128" s="1">
        <v>-39.5</v>
      </c>
      <c r="O128" s="1">
        <v>26.7</v>
      </c>
      <c r="P128" s="1">
        <v>0.6</v>
      </c>
      <c r="Q128" s="1">
        <v>4.05</v>
      </c>
      <c r="T128" t="s">
        <v>3957</v>
      </c>
    </row>
    <row r="129" spans="1:20">
      <c r="A129" t="s">
        <v>3986</v>
      </c>
      <c r="B129" s="8" t="s">
        <v>3985</v>
      </c>
      <c r="C129" t="s">
        <v>3987</v>
      </c>
      <c r="D129" t="s">
        <v>3988</v>
      </c>
      <c r="E129" s="7" t="s">
        <v>2575</v>
      </c>
      <c r="F129" s="1">
        <v>0.04</v>
      </c>
      <c r="G129" s="1">
        <v>7.85</v>
      </c>
      <c r="H129" s="1">
        <v>4.0750000000000002</v>
      </c>
      <c r="I129" s="1">
        <v>-5</v>
      </c>
      <c r="J129" s="1">
        <v>127</v>
      </c>
      <c r="K129" s="1">
        <v>28</v>
      </c>
      <c r="L129" s="1">
        <v>4</v>
      </c>
      <c r="M129" s="1">
        <v>-22</v>
      </c>
      <c r="N129" s="1">
        <v>-36.5</v>
      </c>
      <c r="O129" s="1">
        <v>37</v>
      </c>
      <c r="P129" s="1">
        <v>1.1000000000000001</v>
      </c>
      <c r="Q129" s="1">
        <v>13.2</v>
      </c>
      <c r="R129" s="1">
        <v>0.2</v>
      </c>
      <c r="T129" t="s">
        <v>3989</v>
      </c>
    </row>
    <row r="130" spans="1:20">
      <c r="A130" t="s">
        <v>3986</v>
      </c>
      <c r="B130" s="8" t="s">
        <v>3990</v>
      </c>
      <c r="C130" t="s">
        <v>3991</v>
      </c>
      <c r="D130" t="s">
        <v>3992</v>
      </c>
      <c r="E130" s="7" t="s">
        <v>2575</v>
      </c>
      <c r="F130" s="1">
        <v>2.8000000000000001E-2</v>
      </c>
      <c r="G130" s="1">
        <v>6.8</v>
      </c>
      <c r="H130" s="1">
        <v>6.8</v>
      </c>
      <c r="I130" s="1">
        <v>-5</v>
      </c>
      <c r="K130" s="1">
        <v>31.7</v>
      </c>
      <c r="L130" s="1">
        <v>4</v>
      </c>
      <c r="M130" s="1">
        <v>-44.6</v>
      </c>
      <c r="O130" s="1">
        <v>39.1</v>
      </c>
      <c r="P130" s="1">
        <v>1</v>
      </c>
      <c r="Q130" s="1">
        <v>20</v>
      </c>
      <c r="S130" s="1">
        <v>0.72</v>
      </c>
      <c r="T130" t="s">
        <v>3993</v>
      </c>
    </row>
  </sheetData>
  <hyperlinks>
    <hyperlink ref="T108" r:id="rId1" xr:uid="{00000000-0004-0000-0300-000000000000}"/>
    <hyperlink ref="T109" r:id="rId2" xr:uid="{00000000-0004-0000-0300-000001000000}"/>
    <hyperlink ref="T118" r:id="rId3" xr:uid="{00000000-0004-0000-0300-000002000000}"/>
    <hyperlink ref="T87" r:id="rId4" xr:uid="{00000000-0004-0000-0300-000003000000}"/>
    <hyperlink ref="T88" r:id="rId5" xr:uid="{00000000-0004-0000-0300-000004000000}"/>
    <hyperlink ref="T89" r:id="rId6" xr:uid="{00000000-0004-0000-0300-000005000000}"/>
    <hyperlink ref="T90" r:id="rId7" xr:uid="{00000000-0004-0000-0300-000006000000}"/>
    <hyperlink ref="T52" r:id="rId8" xr:uid="{00000000-0004-0000-0300-000007000000}"/>
    <hyperlink ref="T53" r:id="rId9" xr:uid="{00000000-0004-0000-0300-000008000000}"/>
    <hyperlink ref="T26" r:id="rId10" xr:uid="{00000000-0004-0000-0300-000009000000}"/>
    <hyperlink ref="T91" r:id="rId11" xr:uid="{00000000-0004-0000-0300-00000A000000}"/>
    <hyperlink ref="T92" r:id="rId12" xr:uid="{00000000-0004-0000-0300-00000B000000}"/>
    <hyperlink ref="T54" r:id="rId13" xr:uid="{C6BCF2FA-0B31-41F5-B121-6B7E95AB8682}"/>
    <hyperlink ref="T57" r:id="rId14" xr:uid="{A444E82A-2949-4005-8E33-ADDCDE27C307}"/>
    <hyperlink ref="T58" r:id="rId15" xr:uid="{39A8008A-DF44-4FCC-B715-BE6CC98BBBF7}"/>
    <hyperlink ref="T93" r:id="rId16" xr:uid="{91D67640-729D-40F7-8F4C-956D4B9B1A09}"/>
    <hyperlink ref="T119" r:id="rId17" xr:uid="{55BDF580-43A9-4BB1-BD20-802AC89E11F9}"/>
    <hyperlink ref="T120" r:id="rId18" xr:uid="{A1B3F214-C694-4088-AB29-EEB4DE62BD76}"/>
    <hyperlink ref="T33" r:id="rId19" xr:uid="{791F0C90-5B33-4809-89A8-94D29E465A6C}"/>
    <hyperlink ref="T37" r:id="rId20" xr:uid="{CB38089E-5568-4133-A1B4-3E1A1A236D34}"/>
    <hyperlink ref="T39" r:id="rId21" xr:uid="{B44C549D-00DB-449F-A00A-5EC80EE47FF2}"/>
    <hyperlink ref="T31" r:id="rId22" xr:uid="{37571EC0-F5D5-4055-90A6-2C92981EFCF6}"/>
    <hyperlink ref="T97" r:id="rId23" xr:uid="{6C1728D3-C111-413E-9CE1-8AE67B4041C3}"/>
    <hyperlink ref="T126" r:id="rId24" xr:uid="{F5586E26-1FC3-443C-961F-1636DE0F5C5D}"/>
    <hyperlink ref="T127" r:id="rId25" xr:uid="{CA402376-D8A8-40D7-8162-F125B440EAD4}"/>
  </hyperlinks>
  <pageMargins left="0.7" right="0.7" top="0.75" bottom="0.75" header="0.3" footer="0.3"/>
  <legacyDrawing r:id="rId2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R45"/>
  <sheetViews>
    <sheetView workbookViewId="0">
      <pane ySplit="1" topLeftCell="A22" activePane="bottomLeft" state="frozen"/>
      <selection activeCell="E1" sqref="E1"/>
      <selection pane="bottomLeft" activeCell="D21" sqref="D21"/>
    </sheetView>
  </sheetViews>
  <sheetFormatPr defaultRowHeight="15"/>
  <cols>
    <col min="1" max="1" width="10.7109375" customWidth="1"/>
    <col min="2" max="2" width="10.42578125" customWidth="1"/>
    <col min="3" max="3" width="11" customWidth="1"/>
    <col min="5" max="7" width="13.85546875" customWidth="1"/>
    <col min="8" max="8" width="9.28515625" customWidth="1"/>
    <col min="9" max="9" width="14.85546875" customWidth="1"/>
    <col min="10" max="10" width="13.28515625" customWidth="1"/>
    <col min="11" max="11" width="10.140625" customWidth="1"/>
    <col min="12" max="12" width="10.85546875" customWidth="1"/>
    <col min="13" max="13" width="8" customWidth="1"/>
    <col min="14" max="14" width="8.7109375" customWidth="1"/>
    <col min="15" max="15" width="15.140625" customWidth="1"/>
    <col min="16" max="16" width="14.140625" customWidth="1"/>
    <col min="17" max="17" width="10.28515625" customWidth="1"/>
  </cols>
  <sheetData>
    <row r="1" spans="1:18" ht="15.75">
      <c r="A1" s="41" t="s">
        <v>0</v>
      </c>
      <c r="B1" s="42" t="s">
        <v>1</v>
      </c>
      <c r="C1" s="42" t="s">
        <v>2</v>
      </c>
      <c r="D1" s="42" t="s">
        <v>3</v>
      </c>
      <c r="E1" s="42" t="s">
        <v>14</v>
      </c>
      <c r="F1" s="42" t="s">
        <v>6</v>
      </c>
      <c r="G1" s="42" t="s">
        <v>1867</v>
      </c>
      <c r="H1" s="42" t="s">
        <v>10</v>
      </c>
      <c r="I1" s="42" t="s">
        <v>9</v>
      </c>
      <c r="J1" s="42" t="s">
        <v>7</v>
      </c>
      <c r="K1" s="42" t="s">
        <v>21</v>
      </c>
      <c r="L1" s="42" t="s">
        <v>8</v>
      </c>
      <c r="M1" s="57" t="s">
        <v>1108</v>
      </c>
      <c r="N1" s="42" t="s">
        <v>335</v>
      </c>
      <c r="O1" s="42" t="s">
        <v>149</v>
      </c>
      <c r="P1" s="43" t="s">
        <v>148</v>
      </c>
      <c r="Q1" s="42" t="s">
        <v>4</v>
      </c>
    </row>
    <row r="2" spans="1:18" ht="15.75">
      <c r="A2" s="41" t="s">
        <v>416</v>
      </c>
      <c r="B2" s="42"/>
      <c r="C2" s="42"/>
      <c r="D2" s="42"/>
      <c r="E2" s="42"/>
      <c r="F2" s="42"/>
      <c r="G2" s="42"/>
      <c r="H2" s="42"/>
      <c r="I2" s="42"/>
      <c r="J2" s="42"/>
      <c r="K2" s="42"/>
      <c r="L2" s="42"/>
      <c r="M2" s="42"/>
      <c r="N2" s="42"/>
      <c r="O2" s="42"/>
      <c r="P2" s="43"/>
      <c r="Q2" s="42"/>
    </row>
    <row r="3" spans="1:18">
      <c r="A3" t="s">
        <v>1803</v>
      </c>
      <c r="B3" s="8" t="s">
        <v>56</v>
      </c>
      <c r="C3" s="3" t="s">
        <v>57</v>
      </c>
      <c r="D3" s="7" t="s">
        <v>58</v>
      </c>
      <c r="E3" s="6">
        <v>0.13</v>
      </c>
      <c r="F3" s="1">
        <v>5</v>
      </c>
      <c r="G3" s="1">
        <v>23.5</v>
      </c>
      <c r="H3">
        <v>-10</v>
      </c>
      <c r="I3" s="10">
        <v>1.9</v>
      </c>
      <c r="L3">
        <v>43</v>
      </c>
      <c r="M3">
        <v>1</v>
      </c>
      <c r="N3">
        <v>62</v>
      </c>
      <c r="P3">
        <v>1.62</v>
      </c>
      <c r="Q3" t="s">
        <v>59</v>
      </c>
      <c r="R3" s="3" t="s">
        <v>5</v>
      </c>
    </row>
    <row r="4" spans="1:18">
      <c r="E4" s="1">
        <v>0.13</v>
      </c>
      <c r="F4" s="1">
        <v>15</v>
      </c>
      <c r="G4" s="1">
        <v>24</v>
      </c>
      <c r="H4" s="9">
        <v>-10</v>
      </c>
      <c r="I4" s="9">
        <v>1.9</v>
      </c>
      <c r="L4">
        <v>38</v>
      </c>
      <c r="M4">
        <v>1</v>
      </c>
      <c r="N4">
        <v>38</v>
      </c>
      <c r="P4">
        <v>1.44</v>
      </c>
    </row>
    <row r="5" spans="1:18">
      <c r="A5" t="s">
        <v>1803</v>
      </c>
      <c r="B5" s="8" t="s">
        <v>60</v>
      </c>
      <c r="C5" s="3" t="s">
        <v>61</v>
      </c>
      <c r="D5" s="7" t="s">
        <v>62</v>
      </c>
      <c r="E5" s="6">
        <v>0.13</v>
      </c>
      <c r="F5" s="1">
        <v>5</v>
      </c>
      <c r="G5" s="1">
        <v>26.5</v>
      </c>
      <c r="H5" s="3">
        <v>-10</v>
      </c>
      <c r="I5" s="9">
        <v>1.9</v>
      </c>
      <c r="L5">
        <v>41</v>
      </c>
      <c r="N5">
        <v>40</v>
      </c>
      <c r="P5">
        <v>1.44</v>
      </c>
      <c r="Q5" t="s">
        <v>63</v>
      </c>
      <c r="R5" s="3" t="s">
        <v>5</v>
      </c>
    </row>
    <row r="6" spans="1:18">
      <c r="A6" t="s">
        <v>1563</v>
      </c>
      <c r="B6" s="8" t="s">
        <v>172</v>
      </c>
      <c r="C6" s="3" t="s">
        <v>173</v>
      </c>
      <c r="D6" s="7" t="s">
        <v>174</v>
      </c>
      <c r="E6" s="6">
        <v>0.08</v>
      </c>
      <c r="F6" s="1">
        <v>42</v>
      </c>
      <c r="G6" s="1">
        <v>89</v>
      </c>
      <c r="H6" s="9">
        <v>-10</v>
      </c>
      <c r="I6">
        <v>3.5</v>
      </c>
      <c r="J6" s="10">
        <v>-22</v>
      </c>
      <c r="L6">
        <v>18</v>
      </c>
      <c r="M6">
        <v>3</v>
      </c>
      <c r="N6">
        <v>12</v>
      </c>
      <c r="O6">
        <v>0.09</v>
      </c>
      <c r="P6">
        <v>0.41249999999999998</v>
      </c>
      <c r="Q6" t="s">
        <v>175</v>
      </c>
      <c r="R6" s="3" t="s">
        <v>5</v>
      </c>
    </row>
    <row r="7" spans="1:18">
      <c r="A7" t="s">
        <v>1856</v>
      </c>
      <c r="B7" s="8" t="s">
        <v>294</v>
      </c>
      <c r="C7" s="3" t="s">
        <v>295</v>
      </c>
      <c r="D7" s="7" t="s">
        <v>174</v>
      </c>
      <c r="E7" s="6">
        <v>0.05</v>
      </c>
      <c r="F7" s="1">
        <v>7.5</v>
      </c>
      <c r="G7" s="1">
        <v>328.75</v>
      </c>
      <c r="H7">
        <v>-10</v>
      </c>
      <c r="I7" s="9">
        <v>9</v>
      </c>
      <c r="L7" s="79">
        <v>16</v>
      </c>
      <c r="M7" s="79"/>
      <c r="N7" s="79"/>
      <c r="P7">
        <v>0.27124999999999999</v>
      </c>
      <c r="Q7" t="s">
        <v>296</v>
      </c>
      <c r="R7" s="3" t="s">
        <v>5</v>
      </c>
    </row>
    <row r="8" spans="1:18" ht="18">
      <c r="A8" s="82">
        <v>43800</v>
      </c>
      <c r="B8" s="8" t="s">
        <v>2468</v>
      </c>
      <c r="C8" s="3" t="s">
        <v>2469</v>
      </c>
      <c r="D8" t="s">
        <v>2470</v>
      </c>
      <c r="E8" s="6">
        <v>0.5</v>
      </c>
      <c r="F8" s="1">
        <v>170</v>
      </c>
      <c r="G8" s="1">
        <v>86</v>
      </c>
      <c r="H8">
        <v>-2</v>
      </c>
      <c r="I8" s="9">
        <v>8</v>
      </c>
      <c r="J8">
        <v>-3.6</v>
      </c>
      <c r="K8">
        <v>22</v>
      </c>
      <c r="L8" s="79">
        <v>12</v>
      </c>
      <c r="M8" s="79">
        <v>5.9</v>
      </c>
      <c r="N8" s="79">
        <v>180</v>
      </c>
      <c r="P8">
        <f>0.65*1.5</f>
        <v>0.97500000000000009</v>
      </c>
      <c r="Q8" t="s">
        <v>2471</v>
      </c>
      <c r="R8" s="3"/>
    </row>
    <row r="9" spans="1:18">
      <c r="A9" s="82">
        <v>44256</v>
      </c>
      <c r="B9" s="8" t="s">
        <v>2894</v>
      </c>
      <c r="C9" s="3" t="s">
        <v>2895</v>
      </c>
      <c r="D9" s="7" t="s">
        <v>2896</v>
      </c>
      <c r="E9" s="6">
        <v>0.1</v>
      </c>
      <c r="F9" s="1">
        <v>0.2</v>
      </c>
      <c r="G9" s="1">
        <v>1.4</v>
      </c>
      <c r="H9">
        <v>-15</v>
      </c>
      <c r="I9" s="9">
        <v>0.1</v>
      </c>
      <c r="J9">
        <v>-24</v>
      </c>
      <c r="L9" s="79">
        <v>40</v>
      </c>
      <c r="M9" s="79">
        <v>0.6</v>
      </c>
      <c r="N9" s="79">
        <v>44.5</v>
      </c>
      <c r="Q9" s="66" t="s">
        <v>2897</v>
      </c>
      <c r="R9" s="3"/>
    </row>
    <row r="10" spans="1:18">
      <c r="A10" s="82"/>
      <c r="B10" s="8"/>
      <c r="D10" s="7"/>
      <c r="E10" s="6"/>
      <c r="F10" s="1"/>
      <c r="G10" s="1"/>
      <c r="I10" s="9"/>
      <c r="L10" s="79"/>
      <c r="M10" s="79"/>
      <c r="N10" s="79"/>
      <c r="Q10" s="66"/>
      <c r="R10" s="3"/>
    </row>
    <row r="11" spans="1:18" ht="15.75">
      <c r="A11" s="47" t="s">
        <v>415</v>
      </c>
      <c r="B11" s="46"/>
      <c r="C11" s="46"/>
      <c r="D11" s="46"/>
      <c r="E11" s="46"/>
      <c r="F11" s="46"/>
      <c r="G11" s="46"/>
      <c r="H11" s="46"/>
      <c r="I11" s="46"/>
      <c r="J11" s="46"/>
      <c r="K11" s="46"/>
      <c r="L11" s="46"/>
      <c r="M11" s="46"/>
      <c r="N11" s="46"/>
      <c r="O11" s="46"/>
      <c r="P11" s="46"/>
      <c r="Q11" s="46"/>
    </row>
    <row r="12" spans="1:18">
      <c r="A12" s="82" t="s">
        <v>2952</v>
      </c>
      <c r="B12" s="8" t="s">
        <v>2840</v>
      </c>
      <c r="C12" s="3" t="s">
        <v>2842</v>
      </c>
      <c r="D12" s="7" t="s">
        <v>2964</v>
      </c>
      <c r="E12" s="6">
        <v>3.5000000000000003E-2</v>
      </c>
      <c r="F12" s="1">
        <v>334</v>
      </c>
      <c r="G12" s="1">
        <v>168</v>
      </c>
      <c r="H12">
        <v>-6</v>
      </c>
      <c r="I12" s="9" t="s">
        <v>2953</v>
      </c>
      <c r="L12" s="79" t="s">
        <v>2957</v>
      </c>
      <c r="M12" s="79">
        <v>1.6</v>
      </c>
      <c r="N12" s="79">
        <v>215</v>
      </c>
      <c r="O12">
        <v>0.14000000000000001</v>
      </c>
      <c r="P12">
        <v>0.625</v>
      </c>
      <c r="Q12" s="66" t="s">
        <v>2843</v>
      </c>
    </row>
    <row r="13" spans="1:18">
      <c r="A13" s="82"/>
      <c r="B13" s="8"/>
      <c r="C13" s="3"/>
      <c r="D13" s="7"/>
      <c r="E13" s="6"/>
      <c r="F13" s="1">
        <v>334</v>
      </c>
      <c r="G13" s="1">
        <v>168</v>
      </c>
      <c r="H13">
        <v>-6</v>
      </c>
      <c r="I13" s="9" t="s">
        <v>2962</v>
      </c>
      <c r="L13" s="91" t="s">
        <v>2961</v>
      </c>
      <c r="M13" s="79">
        <v>1.6</v>
      </c>
      <c r="N13" s="79">
        <v>90</v>
      </c>
      <c r="O13">
        <v>0.14000000000000001</v>
      </c>
      <c r="P13">
        <v>0.625</v>
      </c>
      <c r="Q13" s="66"/>
    </row>
    <row r="14" spans="1:18">
      <c r="A14" s="82"/>
      <c r="B14" s="8"/>
      <c r="C14" s="3"/>
      <c r="D14" s="7"/>
      <c r="E14" s="6"/>
      <c r="F14" s="1">
        <v>329</v>
      </c>
      <c r="G14" s="1">
        <v>165.5</v>
      </c>
      <c r="H14">
        <v>-6</v>
      </c>
      <c r="I14" s="9" t="s">
        <v>2954</v>
      </c>
      <c r="L14" s="79" t="s">
        <v>2958</v>
      </c>
      <c r="M14" s="79">
        <v>1.6</v>
      </c>
      <c r="N14" s="79">
        <v>346</v>
      </c>
      <c r="O14">
        <v>0.182</v>
      </c>
      <c r="P14">
        <v>0.625</v>
      </c>
      <c r="Q14" s="66"/>
    </row>
    <row r="15" spans="1:18">
      <c r="A15" s="82"/>
      <c r="B15" s="8"/>
      <c r="C15" s="3"/>
      <c r="D15" s="7"/>
      <c r="E15" s="6"/>
      <c r="F15" s="1">
        <v>329</v>
      </c>
      <c r="G15" s="1">
        <v>165.5</v>
      </c>
      <c r="H15">
        <v>-6</v>
      </c>
      <c r="I15" s="9" t="s">
        <v>2963</v>
      </c>
      <c r="L15" s="79" t="s">
        <v>2956</v>
      </c>
      <c r="M15" s="79">
        <v>1.6</v>
      </c>
      <c r="N15" s="79">
        <v>144</v>
      </c>
      <c r="O15">
        <v>0.182</v>
      </c>
      <c r="P15">
        <v>0.625</v>
      </c>
      <c r="Q15" s="66"/>
    </row>
    <row r="16" spans="1:18">
      <c r="A16" s="82"/>
      <c r="B16" s="8"/>
      <c r="C16" s="3"/>
      <c r="D16" s="7"/>
      <c r="E16" s="6"/>
      <c r="F16" s="1">
        <v>314</v>
      </c>
      <c r="G16" s="1">
        <v>158</v>
      </c>
      <c r="H16">
        <v>-6</v>
      </c>
      <c r="I16" s="9" t="s">
        <v>2955</v>
      </c>
      <c r="L16" s="79" t="s">
        <v>2959</v>
      </c>
      <c r="M16" s="79">
        <v>1.6</v>
      </c>
      <c r="N16" s="79">
        <v>512</v>
      </c>
      <c r="O16">
        <v>0.224</v>
      </c>
      <c r="P16">
        <v>0.72499999999999998</v>
      </c>
      <c r="Q16" s="66"/>
    </row>
    <row r="17" spans="1:18">
      <c r="A17" s="82"/>
      <c r="B17" s="8"/>
      <c r="C17" s="3"/>
      <c r="D17" s="7"/>
      <c r="E17" s="6"/>
      <c r="F17" s="1">
        <v>314</v>
      </c>
      <c r="G17" s="1">
        <v>158</v>
      </c>
      <c r="H17">
        <v>-6</v>
      </c>
      <c r="I17" s="92" t="s">
        <v>2965</v>
      </c>
      <c r="L17" s="79" t="s">
        <v>2960</v>
      </c>
      <c r="M17" s="79">
        <v>1.6</v>
      </c>
      <c r="N17" s="79">
        <v>210</v>
      </c>
      <c r="O17">
        <v>0.224</v>
      </c>
      <c r="P17">
        <v>0.72499999999999998</v>
      </c>
      <c r="Q17" s="66"/>
    </row>
    <row r="18" spans="1:18">
      <c r="A18" s="53" t="s">
        <v>735</v>
      </c>
      <c r="B18" s="53"/>
      <c r="C18" s="53"/>
      <c r="D18" s="53"/>
      <c r="E18" s="53"/>
      <c r="F18" s="53"/>
      <c r="G18" s="53"/>
      <c r="H18" s="53"/>
      <c r="I18" s="53"/>
      <c r="J18" s="53"/>
      <c r="K18" s="53"/>
      <c r="L18" s="53"/>
      <c r="M18" s="53"/>
      <c r="N18" s="53"/>
      <c r="O18" s="53"/>
      <c r="P18" s="53"/>
      <c r="Q18" s="53"/>
    </row>
    <row r="19" spans="1:18">
      <c r="A19" s="54" t="s">
        <v>845</v>
      </c>
      <c r="B19" s="54"/>
      <c r="C19" s="54"/>
      <c r="D19" s="54"/>
      <c r="E19" s="54"/>
      <c r="F19" s="54"/>
      <c r="G19" s="54"/>
      <c r="H19" s="54"/>
      <c r="I19" s="54"/>
      <c r="J19" s="54"/>
      <c r="K19" s="54"/>
      <c r="L19" s="54"/>
      <c r="M19" s="54"/>
      <c r="N19" s="54"/>
      <c r="O19" s="54"/>
      <c r="P19" s="54"/>
      <c r="Q19" s="54"/>
    </row>
    <row r="20" spans="1:18">
      <c r="A20" t="s">
        <v>3867</v>
      </c>
      <c r="B20" s="14" t="s">
        <v>3930</v>
      </c>
      <c r="C20" t="s">
        <v>3931</v>
      </c>
      <c r="D20" s="7" t="s">
        <v>3932</v>
      </c>
      <c r="E20" s="1">
        <v>0.1</v>
      </c>
      <c r="F20" s="1">
        <v>30</v>
      </c>
      <c r="G20" s="1">
        <v>85</v>
      </c>
      <c r="I20" s="9">
        <v>2.8</v>
      </c>
      <c r="J20">
        <v>4.9000000000000004</v>
      </c>
      <c r="L20">
        <v>9.6</v>
      </c>
      <c r="M20" s="79">
        <v>1</v>
      </c>
      <c r="N20" s="79">
        <v>4.5</v>
      </c>
      <c r="Q20" t="s">
        <v>3929</v>
      </c>
    </row>
    <row r="21" spans="1:18">
      <c r="B21" s="14"/>
      <c r="D21" s="7"/>
      <c r="E21" s="1">
        <v>0.1</v>
      </c>
      <c r="F21" s="1">
        <v>30</v>
      </c>
      <c r="G21" s="1">
        <v>85</v>
      </c>
      <c r="I21" s="9"/>
      <c r="L21">
        <v>15.1</v>
      </c>
      <c r="N21" s="79">
        <v>8.6999999999999993</v>
      </c>
    </row>
    <row r="22" spans="1:18">
      <c r="A22" s="56" t="s">
        <v>1031</v>
      </c>
      <c r="B22" s="55"/>
      <c r="C22" s="55"/>
      <c r="D22" s="55"/>
      <c r="E22" s="55"/>
      <c r="F22" s="55"/>
      <c r="G22" s="55"/>
      <c r="H22" s="55"/>
      <c r="I22" s="55"/>
      <c r="J22" s="55"/>
      <c r="K22" s="55"/>
      <c r="L22" s="55"/>
      <c r="M22" s="55"/>
      <c r="N22" s="55"/>
      <c r="O22" s="55"/>
      <c r="P22" s="55"/>
      <c r="Q22" s="55"/>
    </row>
    <row r="23" spans="1:18">
      <c r="A23" t="s">
        <v>1032</v>
      </c>
      <c r="B23" s="8" t="s">
        <v>1036</v>
      </c>
      <c r="C23" t="s">
        <v>1035</v>
      </c>
      <c r="D23" s="7" t="s">
        <v>1037</v>
      </c>
      <c r="E23" s="1">
        <v>0.1</v>
      </c>
      <c r="F23" s="1">
        <v>20</v>
      </c>
      <c r="G23" s="1">
        <v>60</v>
      </c>
      <c r="H23">
        <v>-2</v>
      </c>
      <c r="I23">
        <v>2.2000000000000002</v>
      </c>
      <c r="L23">
        <v>23</v>
      </c>
      <c r="M23">
        <v>0.8</v>
      </c>
      <c r="N23">
        <v>6.4</v>
      </c>
      <c r="P23">
        <v>2.875</v>
      </c>
      <c r="Q23" t="s">
        <v>2617</v>
      </c>
      <c r="R23" s="3" t="s">
        <v>5</v>
      </c>
    </row>
    <row r="24" spans="1:18">
      <c r="A24" t="s">
        <v>1032</v>
      </c>
      <c r="B24" s="8" t="s">
        <v>1039</v>
      </c>
      <c r="C24" t="s">
        <v>1040</v>
      </c>
      <c r="D24" s="7" t="s">
        <v>1038</v>
      </c>
      <c r="E24" s="1">
        <v>0.08</v>
      </c>
      <c r="F24">
        <v>18</v>
      </c>
      <c r="G24" s="1">
        <v>183</v>
      </c>
      <c r="I24">
        <v>8.14</v>
      </c>
      <c r="L24">
        <v>28</v>
      </c>
      <c r="Q24" t="s">
        <v>2618</v>
      </c>
      <c r="R24" s="3" t="s">
        <v>5</v>
      </c>
    </row>
    <row r="25" spans="1:18">
      <c r="A25" t="s">
        <v>1110</v>
      </c>
      <c r="B25" s="8" t="s">
        <v>1124</v>
      </c>
      <c r="C25" t="s">
        <v>2445</v>
      </c>
      <c r="D25" s="7" t="s">
        <v>1123</v>
      </c>
      <c r="E25" s="1">
        <v>0.1</v>
      </c>
      <c r="F25" s="1">
        <v>22.6</v>
      </c>
      <c r="G25" s="1">
        <v>55.9</v>
      </c>
      <c r="H25">
        <v>-7.5</v>
      </c>
      <c r="I25">
        <v>2.86</v>
      </c>
      <c r="K25">
        <v>-9</v>
      </c>
      <c r="L25">
        <v>12.3</v>
      </c>
      <c r="M25">
        <v>0.4</v>
      </c>
      <c r="N25">
        <v>5.6</v>
      </c>
      <c r="P25">
        <v>0.89600000000000002</v>
      </c>
      <c r="Q25" t="s">
        <v>2619</v>
      </c>
      <c r="R25" s="3" t="s">
        <v>5</v>
      </c>
    </row>
    <row r="26" spans="1:18">
      <c r="A26" t="s">
        <v>1110</v>
      </c>
      <c r="B26" s="8" t="s">
        <v>1125</v>
      </c>
      <c r="C26" t="s">
        <v>1127</v>
      </c>
      <c r="D26" s="7" t="s">
        <v>1126</v>
      </c>
      <c r="E26" s="1">
        <v>0.1</v>
      </c>
      <c r="F26" s="1">
        <v>14</v>
      </c>
      <c r="G26" s="1">
        <v>33</v>
      </c>
      <c r="H26">
        <v>-10</v>
      </c>
      <c r="I26">
        <v>1.3</v>
      </c>
      <c r="L26">
        <v>26</v>
      </c>
      <c r="M26">
        <v>0.7</v>
      </c>
      <c r="N26">
        <v>14</v>
      </c>
      <c r="P26">
        <v>1.7</v>
      </c>
      <c r="Q26" t="s">
        <v>2620</v>
      </c>
      <c r="R26" s="3" t="s">
        <v>5</v>
      </c>
    </row>
    <row r="27" spans="1:18">
      <c r="A27" t="s">
        <v>1110</v>
      </c>
      <c r="B27" s="8" t="s">
        <v>1131</v>
      </c>
      <c r="C27" t="s">
        <v>57</v>
      </c>
      <c r="D27" s="7" t="s">
        <v>1132</v>
      </c>
      <c r="E27" s="1">
        <v>0.13</v>
      </c>
      <c r="F27" s="1">
        <v>12</v>
      </c>
      <c r="G27" s="1">
        <v>27</v>
      </c>
      <c r="H27">
        <v>-7.5</v>
      </c>
      <c r="I27" s="9">
        <v>1.9</v>
      </c>
      <c r="L27">
        <v>43</v>
      </c>
      <c r="M27">
        <v>0.8</v>
      </c>
      <c r="N27">
        <v>36</v>
      </c>
      <c r="P27">
        <v>1.44</v>
      </c>
      <c r="Q27" t="s">
        <v>2621</v>
      </c>
      <c r="R27" s="3" t="s">
        <v>5</v>
      </c>
    </row>
    <row r="28" spans="1:18">
      <c r="A28" t="s">
        <v>1186</v>
      </c>
      <c r="B28" s="8" t="s">
        <v>1195</v>
      </c>
      <c r="C28" t="s">
        <v>1196</v>
      </c>
      <c r="D28" s="7" t="s">
        <v>1194</v>
      </c>
      <c r="E28" s="3" t="s">
        <v>5</v>
      </c>
      <c r="F28" s="1">
        <v>32</v>
      </c>
      <c r="G28" s="1">
        <v>304</v>
      </c>
      <c r="I28">
        <v>7.2</v>
      </c>
      <c r="L28">
        <v>15</v>
      </c>
      <c r="Q28" t="s">
        <v>2622</v>
      </c>
      <c r="R28" s="3" t="s">
        <v>5</v>
      </c>
    </row>
    <row r="29" spans="1:18">
      <c r="A29" t="s">
        <v>1272</v>
      </c>
      <c r="B29" s="8" t="s">
        <v>1281</v>
      </c>
      <c r="C29" t="s">
        <v>1282</v>
      </c>
      <c r="D29" s="7" t="s">
        <v>1280</v>
      </c>
      <c r="E29" s="1">
        <v>0.25</v>
      </c>
      <c r="F29" s="1">
        <v>18</v>
      </c>
      <c r="G29" s="1">
        <v>89</v>
      </c>
      <c r="I29">
        <v>5.7</v>
      </c>
      <c r="L29">
        <v>27.7</v>
      </c>
      <c r="M29">
        <v>1.2</v>
      </c>
      <c r="N29">
        <v>19.2</v>
      </c>
      <c r="O29">
        <v>0.42</v>
      </c>
      <c r="Q29" t="s">
        <v>2623</v>
      </c>
      <c r="R29" s="3" t="s">
        <v>5</v>
      </c>
    </row>
    <row r="30" spans="1:18">
      <c r="A30" t="s">
        <v>1304</v>
      </c>
      <c r="B30" s="14" t="s">
        <v>1310</v>
      </c>
      <c r="C30" t="s">
        <v>1311</v>
      </c>
      <c r="D30" s="7" t="s">
        <v>1309</v>
      </c>
      <c r="E30" s="1">
        <v>0.05</v>
      </c>
      <c r="F30" s="1">
        <v>0.6</v>
      </c>
      <c r="G30" s="1">
        <v>0.75</v>
      </c>
      <c r="H30">
        <v>-8.5</v>
      </c>
      <c r="I30" s="9">
        <v>0.15</v>
      </c>
      <c r="L30">
        <v>50</v>
      </c>
      <c r="M30">
        <v>1.5</v>
      </c>
      <c r="N30">
        <v>130.5</v>
      </c>
      <c r="Q30" t="s">
        <v>2624</v>
      </c>
      <c r="R30" s="3" t="s">
        <v>5</v>
      </c>
    </row>
    <row r="31" spans="1:18">
      <c r="A31" s="2" t="s">
        <v>3456</v>
      </c>
      <c r="B31" s="14" t="s">
        <v>3476</v>
      </c>
      <c r="C31" t="s">
        <v>3477</v>
      </c>
      <c r="D31" t="s">
        <v>3478</v>
      </c>
      <c r="E31" s="1">
        <v>3.5000000000000003E-2</v>
      </c>
      <c r="F31" s="1">
        <v>252</v>
      </c>
      <c r="G31" s="1">
        <v>154</v>
      </c>
      <c r="H31" s="1">
        <v>-5</v>
      </c>
      <c r="I31" s="9">
        <v>2.9</v>
      </c>
      <c r="J31" s="1">
        <v>-11.8</v>
      </c>
      <c r="K31" s="1">
        <v>0</v>
      </c>
      <c r="L31">
        <v>19.8</v>
      </c>
      <c r="M31">
        <v>1.6</v>
      </c>
      <c r="N31">
        <v>115.2</v>
      </c>
      <c r="O31">
        <v>0.875</v>
      </c>
      <c r="Q31" t="s">
        <v>3479</v>
      </c>
      <c r="R31" s="3"/>
    </row>
    <row r="32" spans="1:18">
      <c r="B32" s="14"/>
      <c r="D32" s="7"/>
      <c r="E32" s="1"/>
      <c r="F32" s="1"/>
      <c r="G32" s="1"/>
      <c r="I32" s="9"/>
      <c r="R32" s="3"/>
    </row>
    <row r="33" spans="1:18">
      <c r="B33" s="14"/>
      <c r="D33" s="7"/>
      <c r="E33" s="1"/>
      <c r="F33" s="1"/>
      <c r="G33" s="1"/>
      <c r="I33" s="9"/>
      <c r="R33" s="3"/>
    </row>
    <row r="34" spans="1:18">
      <c r="A34" s="46" t="s">
        <v>3324</v>
      </c>
      <c r="B34" s="46"/>
      <c r="C34" s="46"/>
      <c r="D34" s="46"/>
      <c r="E34" s="46"/>
      <c r="F34" s="46"/>
      <c r="G34" s="46"/>
      <c r="H34" s="46"/>
      <c r="I34" s="46"/>
      <c r="J34" s="46"/>
      <c r="K34" s="46"/>
      <c r="L34" s="46"/>
      <c r="M34" s="46"/>
      <c r="N34" s="46"/>
      <c r="O34" s="46"/>
      <c r="P34" s="46"/>
      <c r="Q34" s="46"/>
    </row>
    <row r="35" spans="1:18">
      <c r="A35" t="s">
        <v>1480</v>
      </c>
      <c r="B35" s="8" t="s">
        <v>1478</v>
      </c>
      <c r="C35" t="s">
        <v>1479</v>
      </c>
      <c r="D35" s="7" t="s">
        <v>1477</v>
      </c>
      <c r="E35" s="1">
        <v>3.5000000000000003E-2</v>
      </c>
      <c r="F35" s="1">
        <v>40</v>
      </c>
      <c r="G35" s="1">
        <v>320</v>
      </c>
      <c r="H35">
        <v>-5</v>
      </c>
      <c r="L35">
        <v>5</v>
      </c>
      <c r="M35">
        <v>0.82</v>
      </c>
      <c r="N35">
        <v>10.25</v>
      </c>
      <c r="Q35" t="s">
        <v>2625</v>
      </c>
      <c r="R35" s="3" t="s">
        <v>1100</v>
      </c>
    </row>
    <row r="36" spans="1:18">
      <c r="E36" s="1">
        <v>3.5000000000000003E-2</v>
      </c>
      <c r="F36" s="1">
        <v>45</v>
      </c>
      <c r="G36" s="1">
        <v>317.5</v>
      </c>
      <c r="H36">
        <v>-5</v>
      </c>
      <c r="L36">
        <v>15</v>
      </c>
      <c r="M36">
        <v>1.3</v>
      </c>
      <c r="N36">
        <v>14.3</v>
      </c>
    </row>
    <row r="37" spans="1:18">
      <c r="A37" t="s">
        <v>1599</v>
      </c>
      <c r="B37" s="8" t="s">
        <v>1597</v>
      </c>
      <c r="C37" t="s">
        <v>1598</v>
      </c>
      <c r="D37" s="7" t="s">
        <v>1596</v>
      </c>
      <c r="E37" s="1">
        <v>0.03</v>
      </c>
      <c r="G37" s="1">
        <v>670</v>
      </c>
      <c r="I37">
        <v>13</v>
      </c>
      <c r="L37">
        <v>8</v>
      </c>
      <c r="P37">
        <v>0.25</v>
      </c>
      <c r="Q37" t="s">
        <v>2626</v>
      </c>
      <c r="R37" s="3" t="s">
        <v>1100</v>
      </c>
    </row>
    <row r="38" spans="1:18">
      <c r="E38" s="1">
        <v>0.03</v>
      </c>
      <c r="F38" s="1">
        <v>45</v>
      </c>
      <c r="G38" s="1">
        <v>662.5</v>
      </c>
      <c r="H38">
        <v>-5</v>
      </c>
      <c r="L38">
        <v>30</v>
      </c>
    </row>
    <row r="39" spans="1:18">
      <c r="A39" t="s">
        <v>1696</v>
      </c>
      <c r="B39" s="8" t="s">
        <v>1694</v>
      </c>
      <c r="C39" t="s">
        <v>1695</v>
      </c>
      <c r="D39" s="7" t="s">
        <v>1693</v>
      </c>
      <c r="E39" s="1">
        <v>2.5000000000000001E-2</v>
      </c>
      <c r="F39" s="1">
        <v>65</v>
      </c>
      <c r="G39" s="1">
        <v>828.5</v>
      </c>
      <c r="H39">
        <v>-10</v>
      </c>
      <c r="I39">
        <v>11.1</v>
      </c>
      <c r="L39">
        <v>14.8</v>
      </c>
      <c r="M39">
        <v>1.2</v>
      </c>
      <c r="N39">
        <v>60</v>
      </c>
      <c r="Q39" t="s">
        <v>2627</v>
      </c>
      <c r="R39" s="3" t="s">
        <v>5</v>
      </c>
    </row>
    <row r="40" spans="1:18">
      <c r="A40" t="s">
        <v>1719</v>
      </c>
      <c r="B40" s="8" t="s">
        <v>1717</v>
      </c>
      <c r="C40" t="s">
        <v>1718</v>
      </c>
      <c r="D40" s="7" t="s">
        <v>1716</v>
      </c>
      <c r="E40" s="1">
        <v>2.5000000000000001E-2</v>
      </c>
      <c r="F40" s="1">
        <v>9</v>
      </c>
      <c r="G40" s="1">
        <v>650</v>
      </c>
      <c r="H40">
        <v>-12</v>
      </c>
      <c r="I40">
        <v>9.4</v>
      </c>
      <c r="L40">
        <v>17</v>
      </c>
      <c r="Q40" t="s">
        <v>2628</v>
      </c>
      <c r="R40" s="3" t="s">
        <v>5</v>
      </c>
    </row>
    <row r="41" spans="1:18">
      <c r="A41" t="s">
        <v>1758</v>
      </c>
      <c r="B41" s="8" t="s">
        <v>1756</v>
      </c>
      <c r="C41" t="s">
        <v>1757</v>
      </c>
      <c r="D41" s="7" t="s">
        <v>1755</v>
      </c>
      <c r="E41" s="1">
        <v>0.1</v>
      </c>
      <c r="F41" s="1">
        <v>20</v>
      </c>
      <c r="G41" s="1">
        <v>90</v>
      </c>
      <c r="I41">
        <v>2.5</v>
      </c>
      <c r="L41">
        <v>25</v>
      </c>
      <c r="M41">
        <v>1.3</v>
      </c>
      <c r="N41">
        <v>35</v>
      </c>
      <c r="Q41" t="s">
        <v>2629</v>
      </c>
      <c r="R41" s="3" t="s">
        <v>5</v>
      </c>
    </row>
    <row r="42" spans="1:18">
      <c r="A42" t="s">
        <v>3279</v>
      </c>
      <c r="B42" s="8" t="s">
        <v>3280</v>
      </c>
      <c r="C42" t="s">
        <v>3281</v>
      </c>
      <c r="D42" s="7" t="s">
        <v>3282</v>
      </c>
      <c r="E42" s="1">
        <v>0.25</v>
      </c>
      <c r="F42" s="1">
        <v>20</v>
      </c>
      <c r="G42" s="1">
        <v>130</v>
      </c>
      <c r="H42" s="1">
        <v>-5</v>
      </c>
      <c r="I42" s="1">
        <v>4</v>
      </c>
      <c r="L42">
        <v>13</v>
      </c>
      <c r="M42">
        <v>1.1000000000000001</v>
      </c>
      <c r="N42">
        <v>11.22</v>
      </c>
      <c r="O42">
        <v>4.2000000000000003E-2</v>
      </c>
      <c r="P42">
        <v>0.95499999999999996</v>
      </c>
      <c r="Q42" s="4" t="s">
        <v>3283</v>
      </c>
    </row>
    <row r="43" spans="1:18">
      <c r="A43" t="s">
        <v>3395</v>
      </c>
      <c r="B43" s="8" t="s">
        <v>3359</v>
      </c>
      <c r="C43" t="s">
        <v>3360</v>
      </c>
      <c r="D43" s="7" t="s">
        <v>3361</v>
      </c>
      <c r="E43" s="1">
        <v>0.1</v>
      </c>
      <c r="F43" s="1">
        <v>1.2</v>
      </c>
      <c r="G43" s="1">
        <v>0.9</v>
      </c>
      <c r="H43" s="1">
        <v>-8</v>
      </c>
      <c r="I43" s="1">
        <v>0.16</v>
      </c>
      <c r="J43" s="1">
        <v>-37</v>
      </c>
      <c r="K43" s="1">
        <v>-20</v>
      </c>
      <c r="L43">
        <v>34</v>
      </c>
      <c r="M43">
        <v>4</v>
      </c>
      <c r="N43">
        <v>255</v>
      </c>
      <c r="Q43" s="4" t="s">
        <v>3362</v>
      </c>
    </row>
    <row r="44" spans="1:18">
      <c r="A44" t="s">
        <v>3492</v>
      </c>
      <c r="B44" s="8" t="s">
        <v>3493</v>
      </c>
      <c r="C44" t="s">
        <v>3494</v>
      </c>
      <c r="D44" s="7" t="s">
        <v>3495</v>
      </c>
      <c r="E44" s="1">
        <v>0.1</v>
      </c>
      <c r="F44" s="1">
        <v>1.8</v>
      </c>
      <c r="G44" s="1">
        <v>1.3</v>
      </c>
      <c r="H44" s="1">
        <v>-10</v>
      </c>
      <c r="I44" s="1">
        <v>0.09</v>
      </c>
      <c r="L44">
        <v>41</v>
      </c>
      <c r="M44">
        <v>2.5</v>
      </c>
      <c r="N44">
        <v>350</v>
      </c>
      <c r="Q44" t="s">
        <v>3496</v>
      </c>
    </row>
    <row r="45" spans="1:18">
      <c r="A45" t="s">
        <v>3579</v>
      </c>
      <c r="B45" s="8" t="s">
        <v>3556</v>
      </c>
      <c r="C45" t="s">
        <v>3557</v>
      </c>
      <c r="D45" s="7" t="s">
        <v>3558</v>
      </c>
      <c r="E45" s="1">
        <v>3.5000000000000003E-2</v>
      </c>
      <c r="F45" s="1">
        <v>25</v>
      </c>
      <c r="G45">
        <v>187.5</v>
      </c>
      <c r="H45" s="1">
        <v>-5</v>
      </c>
      <c r="I45" s="1">
        <v>9.8000000000000007</v>
      </c>
      <c r="J45">
        <v>-23.7</v>
      </c>
      <c r="L45">
        <v>19.600000000000001</v>
      </c>
      <c r="M45">
        <v>1.2</v>
      </c>
      <c r="N45">
        <v>22</v>
      </c>
      <c r="P45">
        <v>0.77</v>
      </c>
      <c r="Q45" t="s">
        <v>3559</v>
      </c>
    </row>
  </sheetData>
  <hyperlinks>
    <hyperlink ref="Q9" r:id="rId1" xr:uid="{00000000-0004-0000-0400-000000000000}"/>
    <hyperlink ref="Q12" r:id="rId2" xr:uid="{00000000-0004-0000-0400-000001000000}"/>
    <hyperlink ref="Q42" r:id="rId3" xr:uid="{D5766677-D6A2-46DC-BB3D-7442D52218EE}"/>
    <hyperlink ref="Q43" r:id="rId4" xr:uid="{D4ED6511-518F-46B1-9132-3582CE0A1E8A}"/>
  </hyperlinks>
  <pageMargins left="0.7" right="0.7" top="0.75" bottom="0.75" header="0.3" footer="0.3"/>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Y216"/>
  <sheetViews>
    <sheetView zoomScaleNormal="100" workbookViewId="0">
      <pane ySplit="1" topLeftCell="A170" activePane="bottomLeft" state="frozen"/>
      <selection activeCell="D1" sqref="D1"/>
      <selection pane="bottomLeft" activeCell="K196" sqref="K196"/>
    </sheetView>
  </sheetViews>
  <sheetFormatPr defaultRowHeight="15"/>
  <cols>
    <col min="1" max="1" width="10.7109375" customWidth="1"/>
    <col min="2" max="2" width="10.42578125" customWidth="1"/>
    <col min="3" max="3" width="11" customWidth="1"/>
    <col min="5" max="7" width="13.85546875" style="1" customWidth="1"/>
    <col min="8" max="8" width="9.28515625" style="1" customWidth="1"/>
    <col min="9" max="9" width="14.85546875" style="1" customWidth="1"/>
    <col min="10" max="10" width="10.7109375" style="1" customWidth="1"/>
    <col min="11" max="11" width="11.5703125" style="1" customWidth="1"/>
    <col min="12" max="12" width="9.42578125" style="1" customWidth="1"/>
    <col min="13" max="13" width="8" style="1" customWidth="1"/>
    <col min="14" max="14" width="9.42578125" style="1" customWidth="1"/>
    <col min="15" max="15" width="15.28515625" style="1" customWidth="1"/>
    <col min="16" max="16" width="13.85546875" style="1" customWidth="1"/>
    <col min="17" max="17" width="9.140625" style="1"/>
  </cols>
  <sheetData>
    <row r="1" spans="1:18" ht="15.75">
      <c r="A1" s="41" t="s">
        <v>0</v>
      </c>
      <c r="B1" s="42" t="s">
        <v>1</v>
      </c>
      <c r="C1" s="42" t="s">
        <v>2</v>
      </c>
      <c r="D1" s="42" t="s">
        <v>3</v>
      </c>
      <c r="E1" s="57" t="s">
        <v>13</v>
      </c>
      <c r="F1" s="57" t="s">
        <v>6</v>
      </c>
      <c r="G1" s="57" t="s">
        <v>1867</v>
      </c>
      <c r="H1" s="57" t="s">
        <v>10</v>
      </c>
      <c r="I1" s="57" t="s">
        <v>9</v>
      </c>
      <c r="J1" s="57" t="s">
        <v>7</v>
      </c>
      <c r="K1" s="57" t="s">
        <v>21</v>
      </c>
      <c r="L1" s="57" t="s">
        <v>8</v>
      </c>
      <c r="M1" s="57" t="s">
        <v>1109</v>
      </c>
      <c r="N1" s="57" t="s">
        <v>335</v>
      </c>
      <c r="O1" s="57" t="s">
        <v>149</v>
      </c>
      <c r="P1" s="57" t="s">
        <v>325</v>
      </c>
      <c r="Q1" s="57" t="s">
        <v>4</v>
      </c>
      <c r="R1" s="3"/>
    </row>
    <row r="2" spans="1:18" ht="15.75">
      <c r="A2" s="41" t="s">
        <v>416</v>
      </c>
      <c r="B2" s="42"/>
      <c r="C2" s="42"/>
      <c r="D2" s="42"/>
      <c r="E2" s="57"/>
      <c r="F2" s="57"/>
      <c r="G2" s="57"/>
      <c r="H2" s="57"/>
      <c r="I2" s="57"/>
      <c r="J2" s="57"/>
      <c r="K2" s="57"/>
      <c r="L2" s="57"/>
      <c r="M2" s="57"/>
      <c r="N2" s="57"/>
      <c r="O2" s="57"/>
      <c r="P2" s="57"/>
      <c r="Q2" s="57"/>
      <c r="R2" s="3"/>
    </row>
    <row r="3" spans="1:18">
      <c r="A3" t="s">
        <v>1844</v>
      </c>
      <c r="B3" t="s">
        <v>11</v>
      </c>
      <c r="C3" s="3" t="s">
        <v>12</v>
      </c>
      <c r="D3" t="s">
        <v>28</v>
      </c>
      <c r="E3" s="6" t="s">
        <v>5</v>
      </c>
      <c r="F3" s="1">
        <v>1.68</v>
      </c>
      <c r="G3" s="1">
        <v>1.84</v>
      </c>
      <c r="H3" s="1">
        <v>-3</v>
      </c>
      <c r="I3" s="1">
        <v>2</v>
      </c>
      <c r="J3" s="1">
        <v>-9.3000000000000007</v>
      </c>
      <c r="K3" s="1">
        <v>0.2</v>
      </c>
      <c r="L3" s="1">
        <v>14.8</v>
      </c>
      <c r="M3" s="1">
        <v>3</v>
      </c>
      <c r="N3" s="1">
        <v>18.3</v>
      </c>
      <c r="P3" s="1">
        <v>0.6</v>
      </c>
      <c r="Q3" t="s">
        <v>2219</v>
      </c>
      <c r="R3" s="3" t="s">
        <v>5</v>
      </c>
    </row>
    <row r="4" spans="1:18">
      <c r="A4" t="s">
        <v>1845</v>
      </c>
      <c r="B4" s="8" t="s">
        <v>16</v>
      </c>
      <c r="C4" s="3" t="s">
        <v>17</v>
      </c>
      <c r="D4" t="s">
        <v>29</v>
      </c>
      <c r="E4" s="6">
        <v>0.18</v>
      </c>
      <c r="G4" s="1">
        <v>1.96</v>
      </c>
      <c r="H4" s="1">
        <v>-10.8</v>
      </c>
      <c r="I4" s="1">
        <v>1.6</v>
      </c>
      <c r="K4" s="1">
        <v>-6.5</v>
      </c>
      <c r="L4" s="1">
        <v>16</v>
      </c>
      <c r="M4" s="1">
        <v>2.2000000000000002</v>
      </c>
      <c r="N4" s="1">
        <v>3.1459999999999999</v>
      </c>
      <c r="P4" s="98"/>
      <c r="Q4" t="s">
        <v>406</v>
      </c>
      <c r="R4" s="3" t="s">
        <v>5</v>
      </c>
    </row>
    <row r="5" spans="1:18">
      <c r="A5" t="s">
        <v>1846</v>
      </c>
      <c r="B5" s="8" t="s">
        <v>18</v>
      </c>
      <c r="C5" s="3" t="s">
        <v>19</v>
      </c>
      <c r="D5" t="s">
        <v>30</v>
      </c>
      <c r="E5" s="6">
        <v>0.8</v>
      </c>
      <c r="F5" s="1">
        <v>1.9</v>
      </c>
      <c r="G5" s="1">
        <v>0.95</v>
      </c>
      <c r="H5" s="1">
        <v>-21</v>
      </c>
      <c r="I5" s="1">
        <v>3.3</v>
      </c>
      <c r="J5" s="1">
        <v>-33</v>
      </c>
      <c r="L5" s="1">
        <v>14</v>
      </c>
      <c r="M5" s="1">
        <v>1.5</v>
      </c>
      <c r="N5" s="1">
        <v>5.7</v>
      </c>
      <c r="O5" s="1">
        <v>1.2999999999999999E-2</v>
      </c>
      <c r="P5" s="1">
        <v>0.24</v>
      </c>
      <c r="Q5" t="s">
        <v>2220</v>
      </c>
      <c r="R5" s="3" t="s">
        <v>5</v>
      </c>
    </row>
    <row r="6" spans="1:18" ht="16.5" customHeight="1">
      <c r="A6" t="s">
        <v>1869</v>
      </c>
      <c r="B6" s="8" t="s">
        <v>1870</v>
      </c>
      <c r="C6" s="14" t="s">
        <v>1871</v>
      </c>
      <c r="D6" s="3" t="s">
        <v>1872</v>
      </c>
      <c r="E6" s="6">
        <v>0.25</v>
      </c>
      <c r="G6" s="1">
        <v>16</v>
      </c>
      <c r="H6" s="1">
        <v>-4</v>
      </c>
      <c r="I6" s="1">
        <v>3.8</v>
      </c>
      <c r="K6" s="1">
        <v>-13.5</v>
      </c>
      <c r="L6" s="1">
        <v>14.5</v>
      </c>
      <c r="M6" s="1">
        <v>1.5</v>
      </c>
      <c r="N6" s="1">
        <v>2.25</v>
      </c>
      <c r="O6" s="1">
        <v>0.16</v>
      </c>
      <c r="P6" s="28">
        <v>0.42</v>
      </c>
      <c r="Q6" t="s">
        <v>2221</v>
      </c>
      <c r="R6" s="3" t="s">
        <v>5</v>
      </c>
    </row>
    <row r="7" spans="1:18">
      <c r="A7" t="s">
        <v>1801</v>
      </c>
      <c r="B7" s="8" t="s">
        <v>23</v>
      </c>
      <c r="C7" s="3" t="s">
        <v>408</v>
      </c>
      <c r="D7" s="7" t="s">
        <v>24</v>
      </c>
      <c r="E7" s="6">
        <v>0.25</v>
      </c>
      <c r="G7" s="1">
        <v>2.14</v>
      </c>
      <c r="H7" s="1">
        <v>-15.5</v>
      </c>
      <c r="I7" s="1">
        <v>1.4</v>
      </c>
      <c r="J7" s="1">
        <v>-12.1</v>
      </c>
      <c r="K7" s="1">
        <v>3.3</v>
      </c>
      <c r="L7" s="1">
        <v>15.1</v>
      </c>
      <c r="M7" s="1">
        <v>2.7</v>
      </c>
      <c r="P7" s="98"/>
      <c r="Q7" t="s">
        <v>2087</v>
      </c>
      <c r="R7" s="3" t="s">
        <v>5</v>
      </c>
    </row>
    <row r="8" spans="1:18">
      <c r="A8" t="s">
        <v>1420</v>
      </c>
      <c r="B8" s="8" t="s">
        <v>36</v>
      </c>
      <c r="C8" s="3" t="s">
        <v>37</v>
      </c>
      <c r="D8" s="7" t="s">
        <v>38</v>
      </c>
      <c r="E8" s="6" t="s">
        <v>5</v>
      </c>
      <c r="F8" s="15" t="s">
        <v>2436</v>
      </c>
      <c r="G8" s="15" t="s">
        <v>2437</v>
      </c>
      <c r="H8" s="1">
        <v>-10</v>
      </c>
      <c r="I8" s="1">
        <v>3</v>
      </c>
      <c r="K8" s="1">
        <v>-11.7</v>
      </c>
      <c r="L8" s="1">
        <v>20.8</v>
      </c>
      <c r="M8" s="1">
        <v>2.5</v>
      </c>
      <c r="N8" s="1">
        <v>42.5</v>
      </c>
      <c r="O8" s="1">
        <v>0.18</v>
      </c>
      <c r="P8" s="1">
        <v>0.53</v>
      </c>
      <c r="Q8" t="s">
        <v>2222</v>
      </c>
      <c r="R8" s="3" t="s">
        <v>5</v>
      </c>
    </row>
    <row r="9" spans="1:18">
      <c r="A9" t="s">
        <v>1425</v>
      </c>
      <c r="B9" s="8" t="s">
        <v>43</v>
      </c>
      <c r="C9" s="16" t="s">
        <v>44</v>
      </c>
      <c r="D9" s="7" t="s">
        <v>45</v>
      </c>
      <c r="E9" s="6">
        <v>0.18</v>
      </c>
      <c r="F9" s="1">
        <v>8</v>
      </c>
      <c r="G9" s="1">
        <v>6</v>
      </c>
      <c r="H9" s="6">
        <v>-7</v>
      </c>
      <c r="I9" s="1">
        <v>2.9</v>
      </c>
      <c r="J9" s="6">
        <v>-14</v>
      </c>
      <c r="K9" s="6">
        <v>-6.5</v>
      </c>
      <c r="L9" s="1">
        <v>13</v>
      </c>
      <c r="M9" s="1">
        <v>2.4</v>
      </c>
      <c r="N9" s="1">
        <v>9.6</v>
      </c>
      <c r="P9" s="1">
        <v>0.88</v>
      </c>
      <c r="Q9" t="s">
        <v>150</v>
      </c>
      <c r="R9" s="3" t="s">
        <v>5</v>
      </c>
    </row>
    <row r="10" spans="1:18">
      <c r="A10" t="s">
        <v>1425</v>
      </c>
      <c r="B10" s="8" t="s">
        <v>46</v>
      </c>
      <c r="C10" s="17" t="s">
        <v>47</v>
      </c>
      <c r="D10" s="7" t="s">
        <v>48</v>
      </c>
      <c r="E10" s="6">
        <v>0.35</v>
      </c>
      <c r="F10" s="1">
        <v>2</v>
      </c>
      <c r="G10" s="1">
        <v>4</v>
      </c>
      <c r="H10" s="1">
        <v>-9</v>
      </c>
      <c r="I10" s="1">
        <v>2.1</v>
      </c>
      <c r="J10" s="6">
        <v>-16</v>
      </c>
      <c r="K10" s="6">
        <v>-8.1</v>
      </c>
      <c r="L10" s="1">
        <v>12.1</v>
      </c>
      <c r="M10" s="1">
        <v>3</v>
      </c>
      <c r="N10" s="1">
        <v>9</v>
      </c>
      <c r="P10" s="1">
        <v>1.1339999999999999</v>
      </c>
      <c r="Q10" t="s">
        <v>150</v>
      </c>
      <c r="R10" s="3" t="s">
        <v>5</v>
      </c>
    </row>
    <row r="11" spans="1:18">
      <c r="A11" t="s">
        <v>1847</v>
      </c>
      <c r="B11" s="8" t="s">
        <v>49</v>
      </c>
      <c r="C11" s="3" t="s">
        <v>50</v>
      </c>
      <c r="D11" s="7" t="s">
        <v>51</v>
      </c>
      <c r="E11" s="1">
        <v>0.5</v>
      </c>
      <c r="F11" s="1">
        <v>2.5000000000000001E-2</v>
      </c>
      <c r="G11" s="1">
        <v>0.88149999999999995</v>
      </c>
      <c r="H11" s="1">
        <v>-10</v>
      </c>
      <c r="I11" s="1">
        <v>1.3</v>
      </c>
      <c r="K11" s="1">
        <v>10.9</v>
      </c>
      <c r="L11" s="1">
        <v>15.3</v>
      </c>
      <c r="M11" s="1">
        <v>2.7</v>
      </c>
      <c r="N11" s="1">
        <v>26.46</v>
      </c>
      <c r="P11" s="98"/>
      <c r="Q11" t="s">
        <v>151</v>
      </c>
      <c r="R11" s="3" t="s">
        <v>409</v>
      </c>
    </row>
    <row r="12" spans="1:18">
      <c r="A12" t="s">
        <v>1848</v>
      </c>
      <c r="B12" s="8" t="s">
        <v>72</v>
      </c>
      <c r="C12" s="3" t="s">
        <v>410</v>
      </c>
      <c r="D12" s="7" t="s">
        <v>73</v>
      </c>
      <c r="E12" s="6">
        <v>0.35</v>
      </c>
      <c r="F12" s="1">
        <v>8.6</v>
      </c>
      <c r="G12" s="1">
        <v>7.3</v>
      </c>
      <c r="H12" s="1">
        <v>-8.5</v>
      </c>
      <c r="I12" s="6">
        <v>2.5</v>
      </c>
      <c r="J12" s="6">
        <v>-26</v>
      </c>
      <c r="K12" s="6">
        <v>-17</v>
      </c>
      <c r="L12" s="1">
        <v>26.1</v>
      </c>
      <c r="M12" s="1">
        <v>1.7</v>
      </c>
      <c r="N12" s="1">
        <v>26</v>
      </c>
      <c r="O12" s="1">
        <v>0.2223</v>
      </c>
      <c r="P12" s="98"/>
      <c r="Q12" t="s">
        <v>74</v>
      </c>
      <c r="R12" s="3" t="s">
        <v>5</v>
      </c>
    </row>
    <row r="13" spans="1:18">
      <c r="A13" t="s">
        <v>1833</v>
      </c>
      <c r="B13" s="8" t="s">
        <v>97</v>
      </c>
      <c r="C13" s="24" t="s">
        <v>98</v>
      </c>
      <c r="D13" s="7" t="s">
        <v>99</v>
      </c>
      <c r="E13" s="6">
        <v>0.13</v>
      </c>
      <c r="F13" s="1">
        <v>5</v>
      </c>
      <c r="G13" s="1">
        <v>3</v>
      </c>
      <c r="H13" s="1">
        <v>-6.5</v>
      </c>
      <c r="I13" s="1">
        <v>1.4</v>
      </c>
      <c r="J13" s="1">
        <v>-43.5</v>
      </c>
      <c r="L13" s="1">
        <v>27.5</v>
      </c>
      <c r="M13" s="1">
        <v>2</v>
      </c>
      <c r="N13" s="1">
        <v>48</v>
      </c>
      <c r="P13" s="1">
        <v>0.73</v>
      </c>
      <c r="Q13" t="s">
        <v>100</v>
      </c>
      <c r="R13" s="3" t="s">
        <v>243</v>
      </c>
    </row>
    <row r="14" spans="1:18">
      <c r="C14" s="13"/>
      <c r="E14" s="1">
        <v>0.13</v>
      </c>
      <c r="F14" s="1">
        <v>5.5</v>
      </c>
      <c r="G14" s="1">
        <v>3.25</v>
      </c>
      <c r="H14" s="1">
        <v>-5.5</v>
      </c>
      <c r="I14" s="1">
        <v>1.2</v>
      </c>
      <c r="J14" s="1">
        <v>-44</v>
      </c>
      <c r="L14" s="1">
        <v>25.2</v>
      </c>
      <c r="M14" s="1">
        <v>2</v>
      </c>
      <c r="N14" s="1">
        <v>48</v>
      </c>
      <c r="P14" s="1">
        <v>0.73</v>
      </c>
      <c r="Q14"/>
    </row>
    <row r="15" spans="1:18">
      <c r="A15" t="s">
        <v>1833</v>
      </c>
      <c r="B15" s="8" t="s">
        <v>101</v>
      </c>
      <c r="C15" s="25" t="s">
        <v>102</v>
      </c>
      <c r="D15" s="7" t="s">
        <v>103</v>
      </c>
      <c r="E15" s="6">
        <v>0.13</v>
      </c>
      <c r="G15" s="1">
        <v>77</v>
      </c>
      <c r="H15" s="38">
        <v>-11.5</v>
      </c>
      <c r="I15" s="1">
        <v>4.9000000000000004</v>
      </c>
      <c r="L15" s="1">
        <v>26</v>
      </c>
      <c r="N15" s="1">
        <v>55</v>
      </c>
      <c r="P15" s="98"/>
      <c r="Q15" t="s">
        <v>104</v>
      </c>
      <c r="R15" s="3" t="s">
        <v>5</v>
      </c>
    </row>
    <row r="16" spans="1:18">
      <c r="B16" s="8"/>
      <c r="C16" s="25"/>
      <c r="D16" s="7"/>
      <c r="E16" s="6">
        <v>0.13</v>
      </c>
      <c r="G16" s="1">
        <v>90</v>
      </c>
      <c r="H16" s="38">
        <v>-25</v>
      </c>
      <c r="I16" s="1">
        <v>7</v>
      </c>
      <c r="L16" s="1">
        <v>22</v>
      </c>
      <c r="N16" s="1">
        <v>56</v>
      </c>
      <c r="Q16" s="3"/>
    </row>
    <row r="17" spans="1:18">
      <c r="A17" t="s">
        <v>1507</v>
      </c>
      <c r="B17" s="8" t="s">
        <v>112</v>
      </c>
      <c r="C17" s="25" t="s">
        <v>113</v>
      </c>
      <c r="D17" s="7" t="s">
        <v>114</v>
      </c>
      <c r="E17" s="6">
        <v>0.18</v>
      </c>
      <c r="F17" s="1">
        <v>1.4</v>
      </c>
      <c r="G17" s="1">
        <v>9.3000000000000007</v>
      </c>
      <c r="H17" s="23">
        <v>-10</v>
      </c>
      <c r="I17" s="1">
        <v>4</v>
      </c>
      <c r="K17" s="1">
        <v>-11.3</v>
      </c>
      <c r="L17" s="1">
        <v>18</v>
      </c>
      <c r="M17" s="1">
        <v>1.8</v>
      </c>
      <c r="N17" s="1">
        <v>18</v>
      </c>
      <c r="O17" s="1">
        <v>0.11</v>
      </c>
      <c r="P17" s="28">
        <v>1.44</v>
      </c>
      <c r="Q17" t="s">
        <v>115</v>
      </c>
      <c r="R17" s="3" t="s">
        <v>5</v>
      </c>
    </row>
    <row r="18" spans="1:18">
      <c r="A18" t="s">
        <v>1595</v>
      </c>
      <c r="B18" s="8" t="s">
        <v>216</v>
      </c>
      <c r="C18" s="25" t="s">
        <v>217</v>
      </c>
      <c r="D18" s="7" t="s">
        <v>218</v>
      </c>
      <c r="E18" s="29">
        <v>0.35</v>
      </c>
      <c r="G18" s="1">
        <v>0.9</v>
      </c>
      <c r="H18" s="99">
        <v>-11</v>
      </c>
      <c r="I18" s="1">
        <v>0.93</v>
      </c>
      <c r="K18" s="1">
        <v>14.1</v>
      </c>
      <c r="L18" s="1">
        <v>16</v>
      </c>
      <c r="M18" s="1">
        <v>2.8</v>
      </c>
      <c r="N18" s="1">
        <v>30.8</v>
      </c>
      <c r="Q18" t="s">
        <v>219</v>
      </c>
      <c r="R18" s="3" t="s">
        <v>5</v>
      </c>
    </row>
    <row r="19" spans="1:18">
      <c r="A19" t="s">
        <v>1659</v>
      </c>
      <c r="B19" s="8" t="s">
        <v>313</v>
      </c>
      <c r="C19" s="25" t="s">
        <v>314</v>
      </c>
      <c r="D19" s="7" t="s">
        <v>315</v>
      </c>
      <c r="E19" s="6">
        <v>0.18</v>
      </c>
      <c r="G19" s="1">
        <v>13.5</v>
      </c>
      <c r="H19" s="6">
        <v>-9.5</v>
      </c>
      <c r="I19" s="1">
        <v>3.4</v>
      </c>
      <c r="K19" s="6">
        <v>-13.5</v>
      </c>
      <c r="L19" s="1">
        <v>22.4</v>
      </c>
      <c r="M19" s="1">
        <v>1.8</v>
      </c>
      <c r="N19" s="6">
        <v>36</v>
      </c>
      <c r="O19" s="6" t="s">
        <v>5</v>
      </c>
      <c r="P19" s="1">
        <v>0.59</v>
      </c>
      <c r="Q19" t="s">
        <v>316</v>
      </c>
      <c r="R19" s="3" t="s">
        <v>414</v>
      </c>
    </row>
    <row r="20" spans="1:18">
      <c r="B20" s="8"/>
      <c r="C20" s="25"/>
      <c r="D20" s="7"/>
      <c r="E20" s="6">
        <v>0.18</v>
      </c>
      <c r="G20" s="1">
        <v>24</v>
      </c>
      <c r="H20" s="6">
        <v>-14.5</v>
      </c>
      <c r="I20" s="1">
        <v>3.2</v>
      </c>
      <c r="K20" s="6">
        <v>-17.100000000000001</v>
      </c>
      <c r="L20" s="1">
        <v>23.7</v>
      </c>
      <c r="M20" s="1">
        <v>1.8</v>
      </c>
      <c r="N20" s="6">
        <v>36</v>
      </c>
      <c r="O20" s="6"/>
      <c r="Q20" s="102"/>
      <c r="R20" s="3"/>
    </row>
    <row r="21" spans="1:18">
      <c r="B21" s="8"/>
      <c r="C21" s="25"/>
      <c r="D21" s="7"/>
      <c r="E21" s="6">
        <v>0.18</v>
      </c>
      <c r="G21" s="1">
        <v>35</v>
      </c>
      <c r="H21" s="6">
        <v>-10.1</v>
      </c>
      <c r="I21" s="1">
        <v>3.7</v>
      </c>
      <c r="K21" s="6">
        <v>-16.100000000000001</v>
      </c>
      <c r="L21" s="1">
        <v>20.2</v>
      </c>
      <c r="M21" s="1">
        <v>1.8</v>
      </c>
      <c r="N21" s="6">
        <v>36</v>
      </c>
      <c r="O21" s="6"/>
      <c r="Q21" s="102"/>
      <c r="R21" s="3"/>
    </row>
    <row r="22" spans="1:18">
      <c r="A22" t="s">
        <v>1838</v>
      </c>
      <c r="B22" s="8" t="s">
        <v>321</v>
      </c>
      <c r="C22" s="25" t="s">
        <v>322</v>
      </c>
      <c r="D22" s="7" t="s">
        <v>323</v>
      </c>
      <c r="E22" s="6">
        <v>0.18</v>
      </c>
      <c r="F22" s="1">
        <v>4.5999999999999996</v>
      </c>
      <c r="G22" s="1">
        <v>8.6999999999999993</v>
      </c>
      <c r="H22" s="1">
        <v>-6</v>
      </c>
      <c r="I22" s="1">
        <v>1.1000000000000001</v>
      </c>
      <c r="J22" s="1">
        <v>-19</v>
      </c>
      <c r="K22" s="1">
        <v>-11</v>
      </c>
      <c r="L22" s="1">
        <v>24.2</v>
      </c>
      <c r="M22" s="1">
        <v>1.5</v>
      </c>
      <c r="N22" s="1">
        <v>32.799999999999997</v>
      </c>
      <c r="P22" s="1">
        <v>0.45765</v>
      </c>
      <c r="Q22" t="s">
        <v>324</v>
      </c>
      <c r="R22" s="3" t="s">
        <v>243</v>
      </c>
    </row>
    <row r="23" spans="1:18">
      <c r="D23" s="11"/>
      <c r="E23" s="6">
        <v>0.18</v>
      </c>
      <c r="F23" s="1">
        <v>8</v>
      </c>
      <c r="G23" s="1">
        <v>20</v>
      </c>
      <c r="H23" s="1">
        <v>-6</v>
      </c>
      <c r="I23" s="1">
        <v>1.85</v>
      </c>
      <c r="J23" s="1">
        <v>-16</v>
      </c>
      <c r="K23" s="1">
        <v>-4</v>
      </c>
      <c r="L23" s="1">
        <v>19</v>
      </c>
      <c r="M23" s="1">
        <v>1.8</v>
      </c>
      <c r="N23" s="1">
        <v>22.5</v>
      </c>
      <c r="P23" s="1">
        <v>0.38984999999999997</v>
      </c>
      <c r="Q23"/>
    </row>
    <row r="24" spans="1:18" ht="14.25" customHeight="1">
      <c r="A24" t="s">
        <v>1704</v>
      </c>
      <c r="B24" s="8" t="s">
        <v>349</v>
      </c>
      <c r="C24" s="25" t="s">
        <v>350</v>
      </c>
      <c r="D24" s="7" t="s">
        <v>351</v>
      </c>
      <c r="E24" s="6">
        <v>0.25</v>
      </c>
      <c r="F24" s="1">
        <v>9.6999999999999993</v>
      </c>
      <c r="G24" s="1">
        <v>29.15</v>
      </c>
      <c r="H24" s="1">
        <v>-10</v>
      </c>
      <c r="I24" s="1">
        <v>2.1</v>
      </c>
      <c r="J24" s="1">
        <v>-14.9</v>
      </c>
      <c r="K24" s="1">
        <v>-5</v>
      </c>
      <c r="L24" s="1">
        <v>26.4</v>
      </c>
      <c r="M24" s="1">
        <v>2.5</v>
      </c>
      <c r="N24" s="1">
        <v>134</v>
      </c>
      <c r="O24" s="1">
        <v>0.16500000000000001</v>
      </c>
      <c r="Q24" t="s">
        <v>352</v>
      </c>
      <c r="R24" s="3" t="s">
        <v>243</v>
      </c>
    </row>
    <row r="25" spans="1:18">
      <c r="E25" s="6">
        <v>0.25</v>
      </c>
      <c r="F25" s="1">
        <v>10.5</v>
      </c>
      <c r="G25" s="1">
        <v>30.25</v>
      </c>
      <c r="I25" s="1">
        <v>2.4500000000000002</v>
      </c>
      <c r="J25" s="1">
        <v>-22</v>
      </c>
      <c r="K25" s="1">
        <v>-13.8</v>
      </c>
      <c r="L25" s="1">
        <v>25.3</v>
      </c>
      <c r="M25" s="1">
        <v>1.5</v>
      </c>
      <c r="N25" s="1">
        <v>20.3</v>
      </c>
      <c r="Q25"/>
    </row>
    <row r="26" spans="1:18">
      <c r="A26" t="s">
        <v>1849</v>
      </c>
      <c r="B26" s="8" t="s">
        <v>353</v>
      </c>
      <c r="C26" s="25" t="s">
        <v>354</v>
      </c>
      <c r="D26" s="7" t="s">
        <v>355</v>
      </c>
      <c r="E26" s="6">
        <v>0.13</v>
      </c>
      <c r="F26" s="1">
        <v>18</v>
      </c>
      <c r="G26" s="1">
        <v>88</v>
      </c>
      <c r="I26" s="1">
        <v>6.25</v>
      </c>
      <c r="J26" s="1">
        <v>-36.700000000000003</v>
      </c>
      <c r="L26" s="1">
        <v>40</v>
      </c>
      <c r="M26" s="1">
        <v>1.5</v>
      </c>
      <c r="N26" s="1">
        <v>14.3</v>
      </c>
      <c r="O26" s="1">
        <v>0.76160000000000005</v>
      </c>
      <c r="Q26" t="s">
        <v>356</v>
      </c>
      <c r="R26" s="3" t="s">
        <v>5</v>
      </c>
    </row>
    <row r="27" spans="1:18">
      <c r="A27" t="s">
        <v>1840</v>
      </c>
      <c r="B27" s="8" t="s">
        <v>362</v>
      </c>
      <c r="C27" s="3" t="s">
        <v>322</v>
      </c>
      <c r="D27" s="7" t="s">
        <v>363</v>
      </c>
      <c r="E27" s="6">
        <v>0.09</v>
      </c>
      <c r="F27" s="1">
        <v>2.5</v>
      </c>
      <c r="G27" s="1">
        <v>136.25</v>
      </c>
      <c r="H27" s="1">
        <v>-10</v>
      </c>
      <c r="L27" s="1">
        <v>36</v>
      </c>
      <c r="M27" s="1">
        <v>2.4</v>
      </c>
      <c r="N27" s="1">
        <v>44.88</v>
      </c>
      <c r="O27" s="1">
        <v>0.15</v>
      </c>
      <c r="P27" s="1">
        <v>0.35520000000000002</v>
      </c>
      <c r="Q27" t="s">
        <v>364</v>
      </c>
      <c r="R27" s="3" t="s">
        <v>5</v>
      </c>
    </row>
    <row r="28" spans="1:18">
      <c r="A28" t="s">
        <v>1729</v>
      </c>
      <c r="B28" s="8" t="s">
        <v>386</v>
      </c>
      <c r="C28" t="s">
        <v>388</v>
      </c>
      <c r="D28" s="7" t="s">
        <v>387</v>
      </c>
      <c r="E28" s="6">
        <v>0.13</v>
      </c>
      <c r="F28" s="38">
        <v>40</v>
      </c>
      <c r="G28" s="38">
        <v>157</v>
      </c>
      <c r="H28" s="1">
        <v>-3.8</v>
      </c>
      <c r="I28" s="1">
        <v>8.1999999999999993</v>
      </c>
      <c r="J28" s="1">
        <v>-25.9</v>
      </c>
      <c r="L28" s="1">
        <v>24</v>
      </c>
      <c r="M28" s="1">
        <v>2.2000000000000002</v>
      </c>
      <c r="N28" s="1">
        <v>28</v>
      </c>
      <c r="P28" s="1">
        <v>0.34200000000000003</v>
      </c>
      <c r="Q28" t="s">
        <v>389</v>
      </c>
      <c r="R28" s="3" t="s">
        <v>243</v>
      </c>
    </row>
    <row r="29" spans="1:18">
      <c r="E29" s="6">
        <v>0.13</v>
      </c>
      <c r="F29" s="23">
        <v>10</v>
      </c>
      <c r="G29" s="23">
        <v>178</v>
      </c>
      <c r="H29" s="1">
        <v>-6</v>
      </c>
      <c r="I29" s="1">
        <v>7.6</v>
      </c>
      <c r="J29" s="1">
        <v>-29.1</v>
      </c>
      <c r="L29" s="1">
        <v>21</v>
      </c>
      <c r="M29" s="1">
        <v>0.97</v>
      </c>
      <c r="N29" s="1">
        <v>16.100000000000001</v>
      </c>
      <c r="P29" s="1">
        <v>0.76500000000000001</v>
      </c>
      <c r="Q29"/>
    </row>
    <row r="30" spans="1:18">
      <c r="A30" t="s">
        <v>1850</v>
      </c>
      <c r="B30" s="8" t="s">
        <v>390</v>
      </c>
      <c r="C30" s="33" t="s">
        <v>392</v>
      </c>
      <c r="D30" s="7" t="s">
        <v>391</v>
      </c>
      <c r="E30" s="6">
        <v>0.09</v>
      </c>
      <c r="F30" s="38">
        <v>14</v>
      </c>
      <c r="G30" s="38">
        <v>79</v>
      </c>
      <c r="H30" s="1">
        <v>-10</v>
      </c>
      <c r="I30" s="1">
        <v>5.4</v>
      </c>
      <c r="L30" s="1">
        <v>26.3</v>
      </c>
      <c r="M30" s="1">
        <v>2</v>
      </c>
      <c r="N30" s="1">
        <v>54</v>
      </c>
      <c r="Q30" s="103" t="s">
        <v>393</v>
      </c>
      <c r="R30" s="3" t="s">
        <v>5</v>
      </c>
    </row>
    <row r="31" spans="1:18">
      <c r="A31" s="82">
        <v>44013</v>
      </c>
      <c r="B31" s="8" t="s">
        <v>2500</v>
      </c>
      <c r="C31" s="33" t="s">
        <v>2501</v>
      </c>
      <c r="D31" s="7" t="s">
        <v>2502</v>
      </c>
      <c r="E31" s="6">
        <v>0.13</v>
      </c>
      <c r="F31" s="38"/>
      <c r="G31" s="38">
        <v>28</v>
      </c>
      <c r="I31" s="1">
        <v>4.2</v>
      </c>
      <c r="J31" s="1">
        <v>-13</v>
      </c>
      <c r="L31" s="1">
        <v>13.9</v>
      </c>
      <c r="N31" s="1">
        <v>10</v>
      </c>
      <c r="O31" s="1">
        <f>0.54*0.71</f>
        <v>0.38340000000000002</v>
      </c>
      <c r="P31" s="1">
        <f>0.685*0.89</f>
        <v>0.60965000000000003</v>
      </c>
      <c r="Q31" s="103" t="s">
        <v>2503</v>
      </c>
      <c r="R31" s="3"/>
    </row>
    <row r="32" spans="1:18">
      <c r="A32" s="82"/>
      <c r="B32" s="8"/>
      <c r="C32" s="33"/>
      <c r="D32" s="7"/>
      <c r="E32" s="6">
        <v>0.13</v>
      </c>
      <c r="F32" s="38"/>
      <c r="G32" s="38">
        <v>60</v>
      </c>
      <c r="I32" s="1">
        <v>4.5999999999999996</v>
      </c>
      <c r="J32" s="1">
        <v>-13.5</v>
      </c>
      <c r="L32" s="1">
        <v>14.1</v>
      </c>
      <c r="N32" s="1">
        <v>24</v>
      </c>
      <c r="O32" s="1">
        <f>0.54*0.71</f>
        <v>0.38340000000000002</v>
      </c>
      <c r="P32" s="1">
        <f>0.685*0.89</f>
        <v>0.60965000000000003</v>
      </c>
      <c r="Q32" s="103"/>
      <c r="R32" s="3"/>
    </row>
    <row r="33" spans="1:25">
      <c r="A33" s="82" t="s">
        <v>2926</v>
      </c>
      <c r="B33" s="8" t="s">
        <v>2925</v>
      </c>
      <c r="C33" s="33" t="s">
        <v>2927</v>
      </c>
      <c r="D33" s="7" t="s">
        <v>2928</v>
      </c>
      <c r="E33" s="6">
        <v>0.13</v>
      </c>
      <c r="F33" s="38">
        <v>29.6</v>
      </c>
      <c r="G33" s="38">
        <v>35</v>
      </c>
      <c r="H33" s="1">
        <v>-6</v>
      </c>
      <c r="I33" s="1">
        <v>7.6</v>
      </c>
      <c r="K33" s="1">
        <v>8.6</v>
      </c>
      <c r="L33" s="1">
        <v>11.8</v>
      </c>
      <c r="M33" s="1">
        <v>2.5</v>
      </c>
      <c r="N33" s="1">
        <v>38</v>
      </c>
      <c r="P33" s="1">
        <v>0.90300000000000002</v>
      </c>
      <c r="Q33" s="103" t="s">
        <v>2929</v>
      </c>
      <c r="R33" s="3"/>
    </row>
    <row r="34" spans="1:25">
      <c r="A34" s="82" t="s">
        <v>2506</v>
      </c>
      <c r="B34" s="8" t="s">
        <v>2934</v>
      </c>
      <c r="C34" s="33" t="s">
        <v>2935</v>
      </c>
      <c r="D34" s="7" t="s">
        <v>2936</v>
      </c>
      <c r="E34" s="6">
        <v>0.13</v>
      </c>
      <c r="F34" s="38">
        <v>17</v>
      </c>
      <c r="G34" s="38">
        <v>28.5</v>
      </c>
      <c r="H34" s="1">
        <v>-6</v>
      </c>
      <c r="I34" s="1">
        <v>3.3</v>
      </c>
      <c r="J34" s="1">
        <v>-19</v>
      </c>
      <c r="L34" s="1">
        <v>28.6</v>
      </c>
      <c r="M34" s="1">
        <v>1.5</v>
      </c>
      <c r="N34" s="1">
        <v>25.5</v>
      </c>
      <c r="Q34" s="103" t="s">
        <v>2937</v>
      </c>
      <c r="R34" s="3"/>
    </row>
    <row r="35" spans="1:25">
      <c r="A35" s="3" t="s">
        <v>3128</v>
      </c>
      <c r="B35" s="8" t="s">
        <v>3133</v>
      </c>
      <c r="C35" t="s">
        <v>3134</v>
      </c>
      <c r="D35" t="s">
        <v>3135</v>
      </c>
      <c r="E35" s="40">
        <v>0.18</v>
      </c>
      <c r="F35" s="1">
        <v>44.8</v>
      </c>
      <c r="G35" s="1">
        <v>37.6</v>
      </c>
      <c r="H35"/>
      <c r="I35" s="9">
        <v>2.95</v>
      </c>
      <c r="J35"/>
      <c r="K35">
        <v>-18.5</v>
      </c>
      <c r="L35">
        <v>20</v>
      </c>
      <c r="M35">
        <v>2</v>
      </c>
      <c r="N35">
        <v>32.6</v>
      </c>
      <c r="O35"/>
      <c r="P35"/>
      <c r="Q35" s="103" t="s">
        <v>3136</v>
      </c>
      <c r="R35" s="69"/>
      <c r="S35" s="68"/>
      <c r="T35" s="68"/>
      <c r="U35" s="68"/>
      <c r="V35" s="68"/>
      <c r="W35" s="68"/>
      <c r="X35" s="68"/>
      <c r="Y35" s="68"/>
    </row>
    <row r="36" spans="1:25">
      <c r="A36" s="104" t="s">
        <v>3128</v>
      </c>
      <c r="B36" s="8" t="s">
        <v>3137</v>
      </c>
      <c r="C36" s="33" t="s">
        <v>3138</v>
      </c>
      <c r="D36" s="7" t="s">
        <v>3139</v>
      </c>
      <c r="E36" s="40">
        <v>0.25</v>
      </c>
      <c r="F36" s="1">
        <v>7</v>
      </c>
      <c r="G36" s="1">
        <v>4.5</v>
      </c>
      <c r="H36">
        <v>-5.4</v>
      </c>
      <c r="I36" s="9">
        <v>1.42</v>
      </c>
      <c r="J36"/>
      <c r="K36"/>
      <c r="L36" s="1">
        <v>25.6</v>
      </c>
      <c r="M36"/>
      <c r="N36"/>
      <c r="O36"/>
      <c r="P36"/>
      <c r="Q36" s="103" t="s">
        <v>3140</v>
      </c>
      <c r="R36" s="69"/>
      <c r="S36" s="68"/>
      <c r="T36" s="68"/>
      <c r="U36" s="68"/>
      <c r="V36" s="68"/>
      <c r="W36" s="68"/>
      <c r="X36" s="68"/>
      <c r="Y36" s="68"/>
    </row>
    <row r="37" spans="1:25">
      <c r="A37" s="104" t="s">
        <v>3582</v>
      </c>
      <c r="B37" s="8" t="s">
        <v>3583</v>
      </c>
      <c r="C37" s="33" t="s">
        <v>3584</v>
      </c>
      <c r="D37" s="7" t="s">
        <v>3585</v>
      </c>
      <c r="E37" s="40">
        <v>0.13</v>
      </c>
      <c r="F37" s="1">
        <v>10</v>
      </c>
      <c r="G37" s="1">
        <v>13</v>
      </c>
      <c r="H37" s="1">
        <v>-8</v>
      </c>
      <c r="I37" s="9">
        <v>1.93</v>
      </c>
      <c r="J37">
        <v>3.9</v>
      </c>
      <c r="K37">
        <v>1</v>
      </c>
      <c r="L37" s="1">
        <v>13.2</v>
      </c>
      <c r="M37" s="1">
        <v>3.3</v>
      </c>
      <c r="N37" s="1">
        <v>24</v>
      </c>
      <c r="O37"/>
      <c r="P37" s="1">
        <v>0.57999999999999996</v>
      </c>
      <c r="Q37" s="103" t="s">
        <v>3586</v>
      </c>
      <c r="R37" s="69"/>
      <c r="S37" s="68"/>
      <c r="T37" s="68"/>
      <c r="U37" s="68"/>
      <c r="V37" s="68"/>
      <c r="W37" s="68"/>
      <c r="X37" s="68"/>
      <c r="Y37" s="68"/>
    </row>
    <row r="38" spans="1:25">
      <c r="A38" s="104"/>
      <c r="B38" s="8"/>
      <c r="C38" s="33"/>
      <c r="D38" s="7"/>
      <c r="E38" s="40">
        <v>0.13</v>
      </c>
      <c r="F38" s="1">
        <v>2</v>
      </c>
      <c r="G38" s="1">
        <v>13</v>
      </c>
      <c r="H38" s="1">
        <v>-10</v>
      </c>
      <c r="I38" s="9">
        <v>1.93</v>
      </c>
      <c r="J38">
        <v>3.9</v>
      </c>
      <c r="K38">
        <v>1</v>
      </c>
      <c r="L38" s="1">
        <v>12</v>
      </c>
      <c r="M38">
        <v>3.3</v>
      </c>
      <c r="N38" s="1">
        <v>24</v>
      </c>
      <c r="O38"/>
      <c r="P38" s="1">
        <v>0.57999999999999996</v>
      </c>
      <c r="Q38" s="103"/>
      <c r="R38" s="69"/>
      <c r="S38" s="68"/>
      <c r="T38" s="68"/>
      <c r="U38" s="68"/>
      <c r="V38" s="68"/>
      <c r="W38" s="68"/>
      <c r="X38" s="68"/>
      <c r="Y38" s="68"/>
    </row>
    <row r="39" spans="1:25">
      <c r="A39" s="104" t="s">
        <v>3588</v>
      </c>
      <c r="B39" s="8" t="s">
        <v>3614</v>
      </c>
      <c r="C39" s="33" t="s">
        <v>3615</v>
      </c>
      <c r="D39" s="7" t="s">
        <v>3616</v>
      </c>
      <c r="E39" s="40">
        <v>0.13</v>
      </c>
      <c r="F39" s="1">
        <v>4.9000000000000004</v>
      </c>
      <c r="G39" s="1">
        <v>23.35</v>
      </c>
      <c r="H39" s="1">
        <v>-10</v>
      </c>
      <c r="I39" s="9">
        <v>3.1</v>
      </c>
      <c r="J39">
        <v>-19.399999999999999</v>
      </c>
      <c r="K39"/>
      <c r="L39" s="1">
        <v>19.3</v>
      </c>
      <c r="M39">
        <v>0.94</v>
      </c>
      <c r="N39" s="1">
        <v>10</v>
      </c>
      <c r="O39"/>
      <c r="P39"/>
      <c r="Q39" s="103" t="s">
        <v>3613</v>
      </c>
      <c r="R39" s="69"/>
      <c r="S39" s="68"/>
      <c r="T39" s="68"/>
      <c r="U39" s="68"/>
      <c r="V39" s="68"/>
      <c r="W39" s="68"/>
      <c r="X39" s="68"/>
      <c r="Y39" s="68"/>
    </row>
    <row r="40" spans="1:25" ht="18">
      <c r="A40" s="104" t="s">
        <v>2506</v>
      </c>
      <c r="B40" s="8" t="s">
        <v>3812</v>
      </c>
      <c r="C40" t="s">
        <v>3813</v>
      </c>
      <c r="D40" t="s">
        <v>3814</v>
      </c>
      <c r="E40" s="40">
        <v>0.13</v>
      </c>
      <c r="G40" s="1">
        <v>100</v>
      </c>
      <c r="I40" s="9">
        <v>4.5</v>
      </c>
      <c r="J40">
        <v>-6.5</v>
      </c>
      <c r="K40"/>
      <c r="L40" s="1">
        <v>12.46</v>
      </c>
      <c r="M40">
        <v>3.3</v>
      </c>
      <c r="N40" s="1">
        <v>8.6</v>
      </c>
      <c r="O40">
        <v>4.3999999999999997E-2</v>
      </c>
      <c r="P40"/>
      <c r="Q40" s="103" t="s">
        <v>3815</v>
      </c>
      <c r="R40" s="69"/>
      <c r="S40" s="68"/>
      <c r="T40" s="68"/>
      <c r="U40" s="68"/>
      <c r="V40" s="68"/>
      <c r="W40" s="68"/>
      <c r="X40" s="68"/>
      <c r="Y40" s="68"/>
    </row>
    <row r="41" spans="1:25">
      <c r="A41" s="104"/>
      <c r="B41" s="8"/>
      <c r="C41" s="33"/>
      <c r="D41" s="7"/>
      <c r="E41" s="40"/>
      <c r="I41" s="9"/>
      <c r="J41"/>
      <c r="K41"/>
      <c r="M41"/>
      <c r="O41"/>
      <c r="P41"/>
      <c r="Q41" s="103"/>
      <c r="R41" s="69"/>
      <c r="S41" s="68"/>
      <c r="T41" s="68"/>
      <c r="U41" s="68"/>
      <c r="V41" s="68"/>
      <c r="W41" s="68"/>
      <c r="X41" s="68"/>
      <c r="Y41" s="68"/>
    </row>
    <row r="42" spans="1:25" ht="15.75">
      <c r="A42" s="47" t="s">
        <v>415</v>
      </c>
      <c r="B42" s="46"/>
      <c r="C42" s="46"/>
      <c r="D42" s="46"/>
      <c r="E42" s="100"/>
      <c r="F42" s="93"/>
      <c r="G42" s="93"/>
      <c r="H42" s="93"/>
      <c r="I42" s="93"/>
      <c r="J42" s="93"/>
      <c r="K42" s="93"/>
      <c r="L42" s="93"/>
      <c r="M42" s="93"/>
      <c r="N42" s="93"/>
      <c r="O42" s="93"/>
      <c r="P42" s="93"/>
      <c r="Q42" s="46"/>
    </row>
    <row r="43" spans="1:25">
      <c r="A43" s="50" t="s">
        <v>430</v>
      </c>
      <c r="B43" t="s">
        <v>417</v>
      </c>
      <c r="C43" t="s">
        <v>418</v>
      </c>
      <c r="D43" s="7" t="s">
        <v>419</v>
      </c>
      <c r="E43" s="6" t="s">
        <v>5</v>
      </c>
      <c r="F43" s="101"/>
      <c r="G43" s="21">
        <v>1.8</v>
      </c>
      <c r="H43" s="1">
        <v>-18</v>
      </c>
      <c r="I43" s="1">
        <v>1.3</v>
      </c>
      <c r="J43" s="1">
        <v>-13</v>
      </c>
      <c r="K43" s="1">
        <v>-2</v>
      </c>
      <c r="L43" s="1">
        <v>17</v>
      </c>
      <c r="M43" s="1">
        <v>2.7</v>
      </c>
      <c r="N43" s="1">
        <v>12.15</v>
      </c>
      <c r="Q43" t="s">
        <v>420</v>
      </c>
      <c r="R43" s="3" t="s">
        <v>5</v>
      </c>
    </row>
    <row r="44" spans="1:25">
      <c r="A44" s="50" t="s">
        <v>425</v>
      </c>
      <c r="B44" t="s">
        <v>428</v>
      </c>
      <c r="C44" t="s">
        <v>427</v>
      </c>
      <c r="D44" s="7" t="s">
        <v>429</v>
      </c>
      <c r="E44" s="6" t="s">
        <v>5</v>
      </c>
      <c r="F44" s="38">
        <v>0.4</v>
      </c>
      <c r="G44" s="65">
        <v>0.9</v>
      </c>
      <c r="H44" s="1">
        <v>-11</v>
      </c>
      <c r="I44" s="1">
        <v>0.97</v>
      </c>
      <c r="J44" s="1">
        <v>-17.5</v>
      </c>
      <c r="K44" s="1">
        <v>-9</v>
      </c>
      <c r="L44" s="1">
        <v>17</v>
      </c>
      <c r="M44" s="1">
        <v>3.6</v>
      </c>
      <c r="N44" s="1">
        <v>18</v>
      </c>
      <c r="Q44" t="s">
        <v>426</v>
      </c>
      <c r="R44" s="3" t="s">
        <v>431</v>
      </c>
    </row>
    <row r="45" spans="1:25">
      <c r="E45" s="6"/>
      <c r="F45" s="38">
        <v>1.4</v>
      </c>
      <c r="G45" s="38">
        <v>1.8</v>
      </c>
      <c r="H45" s="1">
        <v>-10</v>
      </c>
      <c r="I45" s="1">
        <v>1.22</v>
      </c>
      <c r="J45" s="1">
        <v>-14</v>
      </c>
      <c r="K45" s="1">
        <v>-4.5</v>
      </c>
      <c r="L45" s="1">
        <v>15</v>
      </c>
      <c r="M45" s="1">
        <v>3.6</v>
      </c>
      <c r="N45" s="1">
        <v>18</v>
      </c>
      <c r="Q45"/>
    </row>
    <row r="46" spans="1:25" ht="12.75" customHeight="1">
      <c r="A46" t="s">
        <v>1851</v>
      </c>
      <c r="B46" s="8" t="s">
        <v>436</v>
      </c>
      <c r="C46" t="s">
        <v>439</v>
      </c>
      <c r="D46" s="7" t="s">
        <v>437</v>
      </c>
      <c r="E46" s="6">
        <v>0.24</v>
      </c>
      <c r="G46" s="38">
        <v>2.14</v>
      </c>
      <c r="H46" s="1">
        <v>-10.7</v>
      </c>
      <c r="I46" s="1">
        <v>1.8</v>
      </c>
      <c r="K46" s="1">
        <v>5.6</v>
      </c>
      <c r="L46" s="1">
        <v>13.2</v>
      </c>
      <c r="Q46" t="s">
        <v>438</v>
      </c>
      <c r="R46" s="3" t="s">
        <v>2417</v>
      </c>
    </row>
    <row r="47" spans="1:25">
      <c r="E47" s="6">
        <v>0.24</v>
      </c>
      <c r="F47" s="38">
        <v>0.06</v>
      </c>
      <c r="G47" s="38">
        <v>2.14</v>
      </c>
      <c r="H47" s="1">
        <v>-12</v>
      </c>
      <c r="I47" s="1">
        <v>3.6</v>
      </c>
      <c r="K47" s="1">
        <v>20</v>
      </c>
      <c r="L47" s="1">
        <v>-4</v>
      </c>
      <c r="Q47"/>
    </row>
    <row r="48" spans="1:25">
      <c r="A48" t="s">
        <v>1385</v>
      </c>
      <c r="B48" s="8" t="s">
        <v>450</v>
      </c>
      <c r="C48" t="s">
        <v>451</v>
      </c>
      <c r="D48" s="7" t="s">
        <v>452</v>
      </c>
      <c r="E48" s="6" t="s">
        <v>5</v>
      </c>
      <c r="F48" s="1">
        <v>22.9</v>
      </c>
      <c r="G48" s="1">
        <v>11.55</v>
      </c>
      <c r="H48" s="1">
        <v>-9</v>
      </c>
      <c r="I48" s="1">
        <v>5</v>
      </c>
      <c r="J48" s="1">
        <v>-11</v>
      </c>
      <c r="K48" s="1">
        <v>0.3</v>
      </c>
      <c r="L48" s="1">
        <v>14.5</v>
      </c>
      <c r="M48" s="1">
        <v>3.6</v>
      </c>
      <c r="N48" s="1">
        <v>54</v>
      </c>
      <c r="P48" s="1">
        <v>1.47</v>
      </c>
      <c r="Q48" t="s">
        <v>453</v>
      </c>
      <c r="R48" s="3" t="s">
        <v>445</v>
      </c>
    </row>
    <row r="49" spans="1:18">
      <c r="E49" s="6" t="s">
        <v>5</v>
      </c>
      <c r="F49" s="1">
        <v>23.45</v>
      </c>
      <c r="G49" s="1">
        <v>11.775</v>
      </c>
      <c r="H49" s="1">
        <v>-6</v>
      </c>
      <c r="I49" s="1">
        <v>6</v>
      </c>
      <c r="J49" s="1">
        <v>-18</v>
      </c>
      <c r="K49" s="1">
        <v>-7.7</v>
      </c>
      <c r="L49" s="1">
        <v>17</v>
      </c>
      <c r="M49" s="1">
        <v>3.6</v>
      </c>
      <c r="N49" s="1">
        <v>100</v>
      </c>
      <c r="P49" s="1">
        <v>0.27039999999999997</v>
      </c>
      <c r="Q49"/>
    </row>
    <row r="50" spans="1:18">
      <c r="A50" t="s">
        <v>1827</v>
      </c>
      <c r="B50" t="s">
        <v>456</v>
      </c>
      <c r="C50" t="s">
        <v>457</v>
      </c>
      <c r="D50" s="7" t="s">
        <v>454</v>
      </c>
      <c r="E50" s="6">
        <v>0.18</v>
      </c>
      <c r="F50" s="1">
        <v>5.8</v>
      </c>
      <c r="G50" s="1">
        <v>5.0999999999999996</v>
      </c>
      <c r="H50" s="1">
        <v>-10</v>
      </c>
      <c r="I50" s="1">
        <v>2.5</v>
      </c>
      <c r="J50" s="1">
        <v>-14.7</v>
      </c>
      <c r="K50" s="1">
        <v>-5.5</v>
      </c>
      <c r="L50" s="1">
        <v>21</v>
      </c>
      <c r="M50" s="1">
        <v>3</v>
      </c>
      <c r="N50" s="1">
        <v>30</v>
      </c>
      <c r="P50" s="1">
        <v>1.8</v>
      </c>
      <c r="Q50" t="s">
        <v>455</v>
      </c>
      <c r="R50" s="3" t="s">
        <v>5</v>
      </c>
    </row>
    <row r="51" spans="1:18">
      <c r="A51" t="s">
        <v>1852</v>
      </c>
      <c r="B51" t="s">
        <v>463</v>
      </c>
      <c r="C51" t="s">
        <v>464</v>
      </c>
      <c r="D51" s="7" t="s">
        <v>462</v>
      </c>
      <c r="E51" s="6">
        <v>0.12</v>
      </c>
      <c r="G51" s="1">
        <v>61.5</v>
      </c>
      <c r="H51" s="1">
        <v>-6</v>
      </c>
      <c r="I51" s="1">
        <v>4.5</v>
      </c>
      <c r="J51" s="1">
        <v>-20</v>
      </c>
      <c r="K51" s="1">
        <v>-8.5</v>
      </c>
      <c r="L51" s="1">
        <v>14.7</v>
      </c>
      <c r="M51" s="1">
        <v>1.8</v>
      </c>
      <c r="N51" s="1">
        <v>10.8</v>
      </c>
      <c r="P51" s="1">
        <v>0.54</v>
      </c>
      <c r="Q51" t="s">
        <v>465</v>
      </c>
      <c r="R51" s="3" t="s">
        <v>5</v>
      </c>
    </row>
    <row r="52" spans="1:18">
      <c r="A52" t="s">
        <v>1422</v>
      </c>
      <c r="B52" t="s">
        <v>476</v>
      </c>
      <c r="C52" t="s">
        <v>477</v>
      </c>
      <c r="D52" s="7" t="s">
        <v>475</v>
      </c>
      <c r="E52" s="6">
        <v>0.25</v>
      </c>
      <c r="G52" s="1">
        <v>20.5</v>
      </c>
      <c r="H52" s="1">
        <v>-16.899999999999999</v>
      </c>
      <c r="I52" s="1">
        <v>4.8899999999999997</v>
      </c>
      <c r="J52" s="1">
        <v>0</v>
      </c>
      <c r="K52" s="1">
        <v>9</v>
      </c>
      <c r="L52" s="1">
        <v>6.31</v>
      </c>
      <c r="M52" s="1">
        <v>3.3</v>
      </c>
      <c r="N52" s="1">
        <v>46.2</v>
      </c>
      <c r="P52" s="1">
        <v>1.6</v>
      </c>
      <c r="Q52" t="s">
        <v>478</v>
      </c>
      <c r="R52" s="3" t="s">
        <v>5</v>
      </c>
    </row>
    <row r="53" spans="1:18">
      <c r="A53" t="s">
        <v>1829</v>
      </c>
      <c r="B53" s="8" t="s">
        <v>483</v>
      </c>
      <c r="C53" t="s">
        <v>486</v>
      </c>
      <c r="D53" s="7" t="s">
        <v>484</v>
      </c>
      <c r="E53" s="6">
        <v>0.25</v>
      </c>
      <c r="F53" s="1">
        <v>3.5</v>
      </c>
      <c r="G53" s="1">
        <v>2.75</v>
      </c>
      <c r="H53" s="1">
        <v>-10</v>
      </c>
      <c r="I53" s="1">
        <v>2.5</v>
      </c>
      <c r="L53" s="1">
        <v>14</v>
      </c>
      <c r="M53" s="1">
        <v>2.5</v>
      </c>
      <c r="Q53" t="s">
        <v>485</v>
      </c>
      <c r="R53" s="3" t="s">
        <v>5</v>
      </c>
    </row>
    <row r="54" spans="1:18">
      <c r="A54" t="s">
        <v>1416</v>
      </c>
      <c r="B54" s="8" t="s">
        <v>492</v>
      </c>
      <c r="C54" t="s">
        <v>494</v>
      </c>
      <c r="D54" s="7" t="s">
        <v>491</v>
      </c>
      <c r="E54" s="6">
        <v>0.25</v>
      </c>
      <c r="G54" s="1">
        <v>2.14</v>
      </c>
      <c r="H54" s="1">
        <v>-15</v>
      </c>
      <c r="I54" s="1">
        <v>2.4</v>
      </c>
      <c r="J54" s="1">
        <v>-12</v>
      </c>
      <c r="K54" s="1">
        <v>0</v>
      </c>
      <c r="L54" s="1">
        <v>13</v>
      </c>
      <c r="M54" s="1">
        <v>2.7</v>
      </c>
      <c r="N54" s="1">
        <v>24.3</v>
      </c>
      <c r="Q54" t="s">
        <v>493</v>
      </c>
      <c r="R54" s="3" t="s">
        <v>5</v>
      </c>
    </row>
    <row r="55" spans="1:18">
      <c r="E55" s="6">
        <v>0.25</v>
      </c>
      <c r="G55" s="1">
        <v>2.2000000000000002</v>
      </c>
      <c r="H55" s="1">
        <v>-20</v>
      </c>
      <c r="I55" s="1">
        <v>3</v>
      </c>
      <c r="J55" s="1">
        <v>-26</v>
      </c>
      <c r="L55" s="1">
        <v>21</v>
      </c>
      <c r="M55" s="1">
        <v>2.7</v>
      </c>
      <c r="Q55"/>
    </row>
    <row r="56" spans="1:18">
      <c r="A56" t="s">
        <v>1443</v>
      </c>
      <c r="B56" s="8" t="s">
        <v>507</v>
      </c>
      <c r="C56" t="s">
        <v>510</v>
      </c>
      <c r="D56" s="7" t="s">
        <v>508</v>
      </c>
      <c r="E56" s="6">
        <v>0.35</v>
      </c>
      <c r="F56" s="1">
        <v>0.2</v>
      </c>
      <c r="G56" s="1">
        <v>0.9</v>
      </c>
      <c r="I56" s="1">
        <v>1.2</v>
      </c>
      <c r="K56" s="1">
        <v>11</v>
      </c>
      <c r="L56" s="1">
        <v>15.5</v>
      </c>
      <c r="M56" s="1">
        <v>2.7</v>
      </c>
      <c r="N56" s="1">
        <v>20.25</v>
      </c>
      <c r="Q56" t="s">
        <v>509</v>
      </c>
      <c r="R56" s="3" t="s">
        <v>5</v>
      </c>
    </row>
    <row r="57" spans="1:18">
      <c r="A57" t="s">
        <v>1455</v>
      </c>
      <c r="B57" s="8" t="s">
        <v>516</v>
      </c>
      <c r="C57" t="s">
        <v>517</v>
      </c>
      <c r="D57" s="7" t="s">
        <v>515</v>
      </c>
      <c r="E57" s="6">
        <v>0.5</v>
      </c>
      <c r="F57" s="1">
        <v>0.8</v>
      </c>
      <c r="G57" s="1">
        <v>0.6</v>
      </c>
      <c r="I57" s="1">
        <v>1.25</v>
      </c>
      <c r="K57" s="1">
        <v>-10</v>
      </c>
      <c r="L57" s="1">
        <v>9</v>
      </c>
      <c r="M57" s="1">
        <v>2.8</v>
      </c>
      <c r="N57" s="1">
        <v>5.25</v>
      </c>
      <c r="Q57" t="s">
        <v>518</v>
      </c>
      <c r="R57" s="3" t="s">
        <v>5</v>
      </c>
    </row>
    <row r="58" spans="1:18">
      <c r="A58" t="s">
        <v>1831</v>
      </c>
      <c r="B58" s="8" t="s">
        <v>527</v>
      </c>
      <c r="C58" t="s">
        <v>529</v>
      </c>
      <c r="D58" s="7" t="s">
        <v>528</v>
      </c>
      <c r="E58" s="6">
        <v>0.18</v>
      </c>
      <c r="F58" s="1">
        <v>8</v>
      </c>
      <c r="G58" s="1">
        <v>6</v>
      </c>
      <c r="H58" s="1">
        <v>-10</v>
      </c>
      <c r="I58" s="1">
        <v>4.7</v>
      </c>
      <c r="J58" s="1">
        <v>-17.100000000000001</v>
      </c>
      <c r="L58" s="1">
        <v>19.100000000000001</v>
      </c>
      <c r="M58" s="1">
        <v>2.7</v>
      </c>
      <c r="N58" s="1">
        <v>3.65</v>
      </c>
      <c r="Q58" t="s">
        <v>530</v>
      </c>
      <c r="R58" s="3" t="s">
        <v>445</v>
      </c>
    </row>
    <row r="59" spans="1:18">
      <c r="E59" s="6">
        <v>0.18</v>
      </c>
      <c r="F59" s="1">
        <v>15</v>
      </c>
      <c r="G59" s="1">
        <v>9.5</v>
      </c>
      <c r="H59" s="1">
        <v>-10.5</v>
      </c>
      <c r="I59" s="1">
        <v>5.65</v>
      </c>
      <c r="J59" s="1">
        <v>-16.8</v>
      </c>
      <c r="L59" s="1">
        <v>16.100000000000001</v>
      </c>
      <c r="M59" s="1">
        <v>2.7</v>
      </c>
      <c r="N59" s="1">
        <v>3.65</v>
      </c>
      <c r="Q59"/>
    </row>
    <row r="60" spans="1:18">
      <c r="A60" t="s">
        <v>1848</v>
      </c>
      <c r="B60" s="8" t="s">
        <v>535</v>
      </c>
      <c r="C60" t="s">
        <v>537</v>
      </c>
      <c r="D60" s="7" t="s">
        <v>536</v>
      </c>
      <c r="E60" s="6">
        <v>0.18</v>
      </c>
      <c r="F60" s="1">
        <v>10.9</v>
      </c>
      <c r="G60" s="1">
        <v>5.55</v>
      </c>
      <c r="H60" s="1">
        <v>-12</v>
      </c>
      <c r="I60" s="1">
        <v>2.9</v>
      </c>
      <c r="K60" s="1">
        <v>-3.55</v>
      </c>
      <c r="L60" s="1">
        <v>8</v>
      </c>
      <c r="M60" s="1">
        <v>1.8</v>
      </c>
      <c r="N60" s="1">
        <v>21.6</v>
      </c>
      <c r="Q60" t="s">
        <v>538</v>
      </c>
      <c r="R60" s="3" t="s">
        <v>5</v>
      </c>
    </row>
    <row r="61" spans="1:18">
      <c r="A61" t="s">
        <v>1832</v>
      </c>
      <c r="B61" s="8" t="s">
        <v>543</v>
      </c>
      <c r="C61" t="s">
        <v>545</v>
      </c>
      <c r="D61" s="7" t="s">
        <v>544</v>
      </c>
      <c r="E61" s="6">
        <v>0.5</v>
      </c>
      <c r="F61" s="1">
        <v>0.38400000000000001</v>
      </c>
      <c r="G61" s="1">
        <v>0.66600000000000004</v>
      </c>
      <c r="I61" s="1">
        <v>1.7</v>
      </c>
      <c r="K61" s="1">
        <v>-2</v>
      </c>
      <c r="L61" s="1">
        <v>25.2</v>
      </c>
      <c r="M61" s="1">
        <v>2.9</v>
      </c>
      <c r="N61" s="1">
        <v>15.4</v>
      </c>
      <c r="P61" s="1">
        <v>0.53680000000000005</v>
      </c>
      <c r="Q61" t="s">
        <v>546</v>
      </c>
      <c r="R61" s="3" t="s">
        <v>5</v>
      </c>
    </row>
    <row r="62" spans="1:18">
      <c r="A62" t="s">
        <v>1853</v>
      </c>
      <c r="B62" t="s">
        <v>588</v>
      </c>
      <c r="C62" t="s">
        <v>589</v>
      </c>
      <c r="D62" s="7" t="s">
        <v>587</v>
      </c>
      <c r="E62" s="1">
        <v>0.25</v>
      </c>
      <c r="F62" s="1">
        <v>9</v>
      </c>
      <c r="G62" s="1">
        <v>78.5</v>
      </c>
      <c r="H62" s="1">
        <v>-14</v>
      </c>
      <c r="I62" s="1">
        <v>10.1</v>
      </c>
      <c r="J62" s="1">
        <v>-20</v>
      </c>
      <c r="L62" s="1">
        <v>21.7</v>
      </c>
      <c r="M62" s="1">
        <v>3.5</v>
      </c>
      <c r="N62" s="1">
        <v>105</v>
      </c>
      <c r="P62" s="1">
        <v>0.1764</v>
      </c>
      <c r="Q62" t="s">
        <v>590</v>
      </c>
      <c r="R62" s="3" t="s">
        <v>5</v>
      </c>
    </row>
    <row r="63" spans="1:18">
      <c r="A63" t="s">
        <v>1854</v>
      </c>
      <c r="B63" t="s">
        <v>592</v>
      </c>
      <c r="C63" t="s">
        <v>593</v>
      </c>
      <c r="D63" s="52" t="s">
        <v>591</v>
      </c>
      <c r="E63" s="6">
        <v>0.13</v>
      </c>
      <c r="G63" s="1">
        <v>122</v>
      </c>
      <c r="I63" s="1">
        <v>8</v>
      </c>
      <c r="L63" s="1">
        <v>22</v>
      </c>
      <c r="M63" s="1">
        <v>3</v>
      </c>
      <c r="N63" s="1">
        <v>34</v>
      </c>
      <c r="Q63" t="s">
        <v>2223</v>
      </c>
      <c r="R63" s="3" t="s">
        <v>5</v>
      </c>
    </row>
    <row r="64" spans="1:18">
      <c r="A64" t="s">
        <v>1570</v>
      </c>
      <c r="B64" s="8" t="s">
        <v>629</v>
      </c>
      <c r="C64" t="s">
        <v>630</v>
      </c>
      <c r="D64" s="7" t="s">
        <v>628</v>
      </c>
      <c r="E64" s="1">
        <v>0.12</v>
      </c>
      <c r="G64" s="1">
        <v>60</v>
      </c>
      <c r="I64" s="1">
        <v>5.6</v>
      </c>
      <c r="J64" s="1">
        <v>-28</v>
      </c>
      <c r="L64" s="1">
        <v>24</v>
      </c>
      <c r="N64" s="1">
        <v>32.4</v>
      </c>
      <c r="Q64" t="s">
        <v>631</v>
      </c>
      <c r="R64" s="3" t="s">
        <v>5</v>
      </c>
    </row>
    <row r="65" spans="1:18">
      <c r="A65" t="s">
        <v>1835</v>
      </c>
      <c r="B65" s="8" t="s">
        <v>643</v>
      </c>
      <c r="C65" t="s">
        <v>645</v>
      </c>
      <c r="D65" s="7" t="s">
        <v>644</v>
      </c>
      <c r="E65" s="1">
        <v>0.18</v>
      </c>
      <c r="F65" s="1">
        <v>25</v>
      </c>
      <c r="G65" s="1">
        <v>82.5</v>
      </c>
      <c r="H65" s="1">
        <v>-9</v>
      </c>
      <c r="I65" s="1">
        <v>9</v>
      </c>
      <c r="L65" s="1">
        <v>19</v>
      </c>
      <c r="M65" s="1">
        <v>1.8</v>
      </c>
      <c r="N65" s="1">
        <v>63</v>
      </c>
      <c r="P65" s="1">
        <v>1</v>
      </c>
      <c r="Q65" t="s">
        <v>646</v>
      </c>
      <c r="R65" s="3" t="s">
        <v>5</v>
      </c>
    </row>
    <row r="66" spans="1:18">
      <c r="A66" t="s">
        <v>1603</v>
      </c>
      <c r="B66" s="8" t="s">
        <v>651</v>
      </c>
      <c r="C66" t="s">
        <v>653</v>
      </c>
      <c r="D66" s="7" t="s">
        <v>652</v>
      </c>
      <c r="E66" s="1">
        <v>0.25</v>
      </c>
      <c r="G66" s="1">
        <v>1.95</v>
      </c>
      <c r="H66" s="1">
        <v>-20</v>
      </c>
      <c r="I66" s="1">
        <v>0.9</v>
      </c>
      <c r="J66" s="1">
        <v>-14</v>
      </c>
      <c r="K66" s="1">
        <v>3</v>
      </c>
      <c r="L66" s="1">
        <v>37</v>
      </c>
      <c r="M66" s="1">
        <v>5</v>
      </c>
      <c r="N66" s="1">
        <v>985</v>
      </c>
      <c r="Q66" t="s">
        <v>654</v>
      </c>
      <c r="R66" s="3" t="s">
        <v>5</v>
      </c>
    </row>
    <row r="67" spans="1:18">
      <c r="A67" t="s">
        <v>1628</v>
      </c>
      <c r="B67" s="8" t="s">
        <v>676</v>
      </c>
      <c r="C67" t="s">
        <v>677</v>
      </c>
      <c r="D67" s="7" t="s">
        <v>675</v>
      </c>
      <c r="E67" s="1">
        <v>0.25</v>
      </c>
      <c r="G67" s="1">
        <v>1.95</v>
      </c>
      <c r="H67" s="1">
        <v>-20</v>
      </c>
      <c r="I67" s="1">
        <v>0.8</v>
      </c>
      <c r="J67" s="1">
        <v>-11</v>
      </c>
      <c r="K67" s="1">
        <v>3</v>
      </c>
      <c r="L67" s="1">
        <v>35</v>
      </c>
      <c r="M67" s="1">
        <v>5</v>
      </c>
      <c r="N67" s="1">
        <v>925</v>
      </c>
      <c r="Q67" t="s">
        <v>678</v>
      </c>
      <c r="R67" s="3" t="s">
        <v>445</v>
      </c>
    </row>
    <row r="68" spans="1:18">
      <c r="E68" s="1">
        <v>0.25</v>
      </c>
      <c r="F68" s="1">
        <v>30</v>
      </c>
      <c r="G68" s="1">
        <v>62</v>
      </c>
      <c r="H68" s="1">
        <v>-6</v>
      </c>
      <c r="I68" s="1">
        <v>6</v>
      </c>
      <c r="L68" s="1">
        <v>22.5</v>
      </c>
      <c r="M68" s="1">
        <v>2.5</v>
      </c>
      <c r="N68" s="1">
        <v>52</v>
      </c>
      <c r="P68" s="1">
        <v>0.5</v>
      </c>
      <c r="Q68"/>
    </row>
    <row r="69" spans="1:18">
      <c r="A69" t="s">
        <v>1651</v>
      </c>
      <c r="B69" s="8" t="s">
        <v>688</v>
      </c>
      <c r="C69" t="s">
        <v>689</v>
      </c>
      <c r="D69" s="7" t="s">
        <v>687</v>
      </c>
      <c r="E69" s="1">
        <v>0.13</v>
      </c>
      <c r="F69" s="1">
        <v>35</v>
      </c>
      <c r="G69" s="1">
        <v>95.5</v>
      </c>
      <c r="H69" s="1">
        <v>-10</v>
      </c>
      <c r="I69" s="1">
        <v>6</v>
      </c>
      <c r="L69" s="1">
        <v>25</v>
      </c>
      <c r="M69" s="1">
        <v>2.5</v>
      </c>
      <c r="N69" s="1">
        <v>54</v>
      </c>
      <c r="P69" s="1">
        <v>0.3</v>
      </c>
      <c r="Q69" t="s">
        <v>690</v>
      </c>
      <c r="R69" s="3" t="s">
        <v>445</v>
      </c>
    </row>
    <row r="70" spans="1:18">
      <c r="E70" s="1">
        <v>0.25</v>
      </c>
      <c r="F70" s="1">
        <v>6.5</v>
      </c>
      <c r="G70" s="1">
        <v>55.75</v>
      </c>
      <c r="H70" s="1">
        <v>-4</v>
      </c>
      <c r="I70" s="1">
        <v>5.3</v>
      </c>
      <c r="L70" s="1">
        <v>21</v>
      </c>
      <c r="M70" s="1">
        <v>2.5</v>
      </c>
      <c r="N70" s="1">
        <v>45</v>
      </c>
      <c r="O70" s="1">
        <v>0.20349999999999999</v>
      </c>
      <c r="P70" s="1">
        <v>0.73099999999999998</v>
      </c>
      <c r="Q70"/>
    </row>
    <row r="71" spans="1:18">
      <c r="A71" t="s">
        <v>1855</v>
      </c>
      <c r="B71" s="8" t="s">
        <v>724</v>
      </c>
      <c r="C71" t="s">
        <v>725</v>
      </c>
      <c r="D71" s="7" t="s">
        <v>723</v>
      </c>
      <c r="E71" s="1">
        <v>0.25</v>
      </c>
      <c r="F71" s="1">
        <v>6.5</v>
      </c>
      <c r="G71" s="1">
        <v>55.75</v>
      </c>
      <c r="H71" s="1">
        <v>-4</v>
      </c>
      <c r="I71" s="1">
        <v>5.3</v>
      </c>
      <c r="L71" s="1">
        <v>21</v>
      </c>
      <c r="M71" s="1">
        <v>2.5</v>
      </c>
      <c r="N71" s="1">
        <v>45</v>
      </c>
      <c r="O71" s="1">
        <v>0.20349999999999999</v>
      </c>
      <c r="P71" s="1">
        <v>0.73099999999999998</v>
      </c>
      <c r="Q71" t="s">
        <v>726</v>
      </c>
      <c r="R71" s="3" t="s">
        <v>5</v>
      </c>
    </row>
    <row r="72" spans="1:18" ht="18">
      <c r="A72" s="82">
        <v>43983</v>
      </c>
      <c r="B72" s="8" t="s">
        <v>2521</v>
      </c>
      <c r="C72" t="s">
        <v>2522</v>
      </c>
      <c r="D72" t="s">
        <v>2523</v>
      </c>
      <c r="E72" s="1">
        <v>0.13</v>
      </c>
      <c r="F72" s="1">
        <v>34</v>
      </c>
      <c r="G72" s="1">
        <v>190</v>
      </c>
      <c r="H72" s="1">
        <v>-10</v>
      </c>
      <c r="I72" s="1">
        <v>7.7</v>
      </c>
      <c r="J72" s="1">
        <f>-17.2-L72</f>
        <v>-40.700000000000003</v>
      </c>
      <c r="L72" s="1">
        <v>23.5</v>
      </c>
      <c r="N72" s="1">
        <v>3.2</v>
      </c>
      <c r="P72" s="1">
        <f>0.7*1.5</f>
        <v>1.0499999999999998</v>
      </c>
      <c r="Q72" s="103" t="s">
        <v>2524</v>
      </c>
      <c r="R72" s="3"/>
    </row>
    <row r="73" spans="1:18">
      <c r="B73" s="8"/>
      <c r="D73" s="7"/>
      <c r="E73" s="1">
        <v>0.13</v>
      </c>
      <c r="F73" s="1">
        <v>26</v>
      </c>
      <c r="G73" s="1">
        <v>191</v>
      </c>
      <c r="H73" s="1">
        <v>-10</v>
      </c>
      <c r="I73" s="1">
        <v>7.65</v>
      </c>
      <c r="J73" s="1">
        <f>-17.5-L73</f>
        <v>-38.799999999999997</v>
      </c>
      <c r="L73" s="1">
        <v>21.3</v>
      </c>
      <c r="N73" s="1">
        <v>2.7</v>
      </c>
      <c r="P73" s="1">
        <f>0.7*1.5</f>
        <v>1.0499999999999998</v>
      </c>
      <c r="Q73"/>
      <c r="R73" s="3"/>
    </row>
    <row r="74" spans="1:18">
      <c r="B74" s="8"/>
      <c r="D74" s="7"/>
      <c r="E74" s="1">
        <v>0.13</v>
      </c>
      <c r="F74" s="1">
        <v>17</v>
      </c>
      <c r="G74" s="1">
        <v>180</v>
      </c>
      <c r="H74" s="1">
        <v>-10</v>
      </c>
      <c r="I74" s="1">
        <v>7.6</v>
      </c>
      <c r="J74" s="1">
        <f>-18-L74</f>
        <v>-37.6</v>
      </c>
      <c r="L74" s="1">
        <v>19.600000000000001</v>
      </c>
      <c r="N74" s="1">
        <v>2.2200000000000002</v>
      </c>
      <c r="P74" s="1">
        <f>0.7*1.5</f>
        <v>1.0499999999999998</v>
      </c>
      <c r="Q74"/>
      <c r="R74" s="3"/>
    </row>
    <row r="75" spans="1:18">
      <c r="B75" s="8"/>
      <c r="D75" s="7"/>
      <c r="E75" s="1">
        <v>0.13</v>
      </c>
      <c r="F75" s="1">
        <v>15</v>
      </c>
      <c r="G75" s="1">
        <v>175</v>
      </c>
      <c r="H75" s="1">
        <v>-10</v>
      </c>
      <c r="I75" s="1">
        <v>7.5</v>
      </c>
      <c r="J75" s="1">
        <f>-18.3-L75</f>
        <v>-36.6</v>
      </c>
      <c r="L75" s="1">
        <v>18.3</v>
      </c>
      <c r="N75" s="1">
        <v>1.73</v>
      </c>
      <c r="P75" s="1">
        <f>0.7*1.5</f>
        <v>1.0499999999999998</v>
      </c>
      <c r="Q75"/>
      <c r="R75" s="3"/>
    </row>
    <row r="76" spans="1:18">
      <c r="A76" s="3" t="s">
        <v>2854</v>
      </c>
      <c r="B76" s="8" t="s">
        <v>2826</v>
      </c>
      <c r="C76" t="s">
        <v>2827</v>
      </c>
      <c r="D76" s="7" t="s">
        <v>2828</v>
      </c>
      <c r="E76" s="1">
        <v>0.13</v>
      </c>
      <c r="F76" s="1">
        <v>50</v>
      </c>
      <c r="G76" s="1">
        <v>147.5</v>
      </c>
      <c r="H76" s="1">
        <v>-10</v>
      </c>
      <c r="L76" s="1">
        <v>21</v>
      </c>
      <c r="M76" s="1">
        <v>3.3</v>
      </c>
      <c r="N76" s="1">
        <v>109</v>
      </c>
      <c r="Q76" s="103" t="s">
        <v>2829</v>
      </c>
      <c r="R76" s="3"/>
    </row>
    <row r="77" spans="1:18">
      <c r="A77" s="3" t="s">
        <v>2854</v>
      </c>
      <c r="B77" s="8" t="s">
        <v>2859</v>
      </c>
      <c r="C77" t="s">
        <v>2860</v>
      </c>
      <c r="D77" s="7" t="s">
        <v>2861</v>
      </c>
      <c r="E77" s="1">
        <v>0.13</v>
      </c>
      <c r="F77" s="1">
        <v>20</v>
      </c>
      <c r="G77" s="1">
        <v>52</v>
      </c>
      <c r="H77" s="1">
        <v>-10</v>
      </c>
      <c r="I77" s="1">
        <v>4.5</v>
      </c>
      <c r="L77" s="1">
        <v>20.100000000000001</v>
      </c>
      <c r="M77" s="1">
        <v>1</v>
      </c>
      <c r="N77" s="1">
        <v>15</v>
      </c>
      <c r="P77" s="1">
        <v>0.6</v>
      </c>
      <c r="Q77" s="103" t="s">
        <v>2862</v>
      </c>
      <c r="R77" s="3"/>
    </row>
    <row r="78" spans="1:18" ht="18">
      <c r="A78" s="3" t="s">
        <v>3424</v>
      </c>
      <c r="B78" s="8" t="s">
        <v>3313</v>
      </c>
      <c r="C78" t="s">
        <v>2975</v>
      </c>
      <c r="D78" t="s">
        <v>3312</v>
      </c>
      <c r="E78" s="1">
        <v>0.13</v>
      </c>
      <c r="F78" s="1">
        <v>50</v>
      </c>
      <c r="G78" s="1">
        <v>235</v>
      </c>
      <c r="H78" s="1">
        <v>-1.5</v>
      </c>
      <c r="I78" s="1">
        <v>11</v>
      </c>
      <c r="J78" s="1">
        <v>-14</v>
      </c>
      <c r="L78" s="1">
        <v>7.8</v>
      </c>
      <c r="M78" s="1">
        <v>2</v>
      </c>
      <c r="N78" s="1">
        <v>18</v>
      </c>
      <c r="O78" s="1">
        <v>2E-3</v>
      </c>
      <c r="P78" s="1">
        <v>7.2999999999999995E-2</v>
      </c>
      <c r="Q78" s="103" t="s">
        <v>3314</v>
      </c>
      <c r="R78" s="3"/>
    </row>
    <row r="79" spans="1:18">
      <c r="A79" s="3" t="s">
        <v>3849</v>
      </c>
      <c r="B79" s="8" t="s">
        <v>3851</v>
      </c>
      <c r="C79" t="s">
        <v>3852</v>
      </c>
      <c r="D79" s="7" t="s">
        <v>3853</v>
      </c>
      <c r="E79" s="1">
        <v>0.13</v>
      </c>
      <c r="F79" s="1">
        <v>23</v>
      </c>
      <c r="G79" s="1">
        <v>290</v>
      </c>
      <c r="H79" s="1">
        <v>-1.5</v>
      </c>
      <c r="I79" s="1">
        <v>16</v>
      </c>
      <c r="J79" s="1">
        <v>-9</v>
      </c>
      <c r="L79" s="1">
        <v>12.9</v>
      </c>
      <c r="M79" s="1">
        <v>2</v>
      </c>
      <c r="N79" s="1">
        <v>136</v>
      </c>
      <c r="O79" s="1">
        <v>1.6E-2</v>
      </c>
      <c r="P79" s="1">
        <v>0.246</v>
      </c>
      <c r="Q79" s="103"/>
      <c r="R79" s="3"/>
    </row>
    <row r="80" spans="1:18">
      <c r="A80" s="3"/>
      <c r="B80" s="8"/>
      <c r="D80" s="7"/>
      <c r="E80" s="1">
        <v>0.13</v>
      </c>
      <c r="F80" s="1">
        <v>23</v>
      </c>
      <c r="G80" s="1">
        <v>300</v>
      </c>
      <c r="H80" s="1">
        <v>-1.5</v>
      </c>
      <c r="I80" s="1">
        <v>16</v>
      </c>
      <c r="J80" s="1">
        <v>-9</v>
      </c>
      <c r="L80" s="1">
        <v>11.2</v>
      </c>
      <c r="M80" s="1">
        <v>2</v>
      </c>
      <c r="N80" s="1">
        <v>136</v>
      </c>
      <c r="O80" s="1">
        <v>1.6E-2</v>
      </c>
      <c r="P80" s="1">
        <v>0.246</v>
      </c>
      <c r="Q80" s="103"/>
      <c r="R80" s="3"/>
    </row>
    <row r="81" spans="1:18">
      <c r="A81" s="3" t="s">
        <v>3836</v>
      </c>
      <c r="B81" s="8" t="s">
        <v>3845</v>
      </c>
      <c r="C81" t="s">
        <v>3846</v>
      </c>
      <c r="D81" s="7" t="s">
        <v>3847</v>
      </c>
      <c r="E81" s="1">
        <v>0.13</v>
      </c>
      <c r="F81" s="1">
        <v>51.3</v>
      </c>
      <c r="G81" s="1">
        <v>25.65</v>
      </c>
      <c r="H81" s="1">
        <v>-3</v>
      </c>
      <c r="I81" s="1">
        <v>4.0599999999999996</v>
      </c>
      <c r="J81" s="1">
        <v>-15</v>
      </c>
      <c r="K81" s="1">
        <v>-5.5</v>
      </c>
      <c r="L81" s="1">
        <v>15.2</v>
      </c>
      <c r="M81" s="1">
        <v>1.2</v>
      </c>
      <c r="N81" s="1">
        <v>17.5</v>
      </c>
      <c r="O81" s="1">
        <v>0.06</v>
      </c>
      <c r="Q81" s="103" t="s">
        <v>3848</v>
      </c>
      <c r="R81" s="3"/>
    </row>
    <row r="82" spans="1:18">
      <c r="A82" s="3" t="s">
        <v>3849</v>
      </c>
      <c r="B82" s="8"/>
      <c r="D82" s="7"/>
      <c r="E82" s="1">
        <v>4.4999999999999998E-2</v>
      </c>
      <c r="F82" s="1">
        <v>37.799999999999997</v>
      </c>
      <c r="G82" s="1">
        <v>174.9</v>
      </c>
      <c r="H82" s="1">
        <v>-10</v>
      </c>
      <c r="I82" s="1">
        <v>6.2</v>
      </c>
      <c r="J82" s="1">
        <v>-11.2</v>
      </c>
      <c r="L82" s="1">
        <v>14</v>
      </c>
      <c r="N82" s="1">
        <v>21.5</v>
      </c>
      <c r="O82" s="1">
        <v>0.8</v>
      </c>
      <c r="Q82" s="103" t="s">
        <v>3850</v>
      </c>
      <c r="R82" s="3"/>
    </row>
    <row r="83" spans="1:18">
      <c r="A83" s="3"/>
      <c r="B83" s="8"/>
      <c r="D83" s="7"/>
      <c r="E83" s="1">
        <v>4.4999999999999998E-2</v>
      </c>
      <c r="F83" s="1">
        <v>36.799999999999997</v>
      </c>
      <c r="G83" s="1">
        <v>175.8</v>
      </c>
      <c r="H83" s="1">
        <v>-6</v>
      </c>
      <c r="I83" s="1">
        <v>6.2</v>
      </c>
      <c r="J83" s="1">
        <v>-16</v>
      </c>
      <c r="L83" s="1">
        <v>20.399999999999999</v>
      </c>
      <c r="N83" s="1">
        <v>19.25</v>
      </c>
      <c r="O83" s="1">
        <v>0.87</v>
      </c>
      <c r="Q83" s="103"/>
      <c r="R83" s="3"/>
    </row>
    <row r="84" spans="1:18">
      <c r="A84" s="3" t="s">
        <v>3078</v>
      </c>
      <c r="B84" s="8" t="s">
        <v>3831</v>
      </c>
      <c r="C84" t="s">
        <v>3446</v>
      </c>
      <c r="D84" s="7" t="s">
        <v>3832</v>
      </c>
      <c r="E84" s="1">
        <v>5.5E-2</v>
      </c>
      <c r="F84" s="1">
        <v>60</v>
      </c>
      <c r="G84" s="1">
        <v>140</v>
      </c>
      <c r="H84" s="1">
        <v>-5</v>
      </c>
      <c r="I84" s="1">
        <v>5</v>
      </c>
      <c r="J84" s="1">
        <v>-21.3</v>
      </c>
      <c r="L84" s="1">
        <v>23</v>
      </c>
      <c r="N84" s="1">
        <v>60</v>
      </c>
      <c r="O84" s="1">
        <v>0.109</v>
      </c>
      <c r="Q84" s="103" t="s">
        <v>3833</v>
      </c>
      <c r="R84" s="3"/>
    </row>
    <row r="85" spans="1:18">
      <c r="Q85" s="103"/>
      <c r="R85" s="3"/>
    </row>
    <row r="86" spans="1:18">
      <c r="A86" s="53" t="s">
        <v>735</v>
      </c>
      <c r="B86" s="53"/>
      <c r="C86" s="53"/>
      <c r="D86" s="53"/>
      <c r="E86" s="94"/>
      <c r="F86" s="94"/>
      <c r="G86" s="94"/>
      <c r="H86" s="94"/>
      <c r="I86" s="94"/>
      <c r="J86" s="94"/>
      <c r="K86" s="94"/>
      <c r="L86" s="94"/>
      <c r="M86" s="94"/>
      <c r="N86" s="94"/>
      <c r="O86" s="94"/>
      <c r="P86" s="94"/>
      <c r="Q86" s="53"/>
    </row>
    <row r="87" spans="1:18">
      <c r="A87" t="s">
        <v>740</v>
      </c>
      <c r="B87" s="8" t="s">
        <v>736</v>
      </c>
      <c r="C87" t="s">
        <v>738</v>
      </c>
      <c r="D87" s="7" t="s">
        <v>737</v>
      </c>
      <c r="E87" s="1">
        <v>0.5</v>
      </c>
      <c r="G87" s="1">
        <v>0.88200000000000001</v>
      </c>
      <c r="I87" s="1">
        <v>1.4</v>
      </c>
      <c r="K87" s="1">
        <v>8.6999999999999993</v>
      </c>
      <c r="L87" s="1">
        <v>15.3</v>
      </c>
      <c r="M87" s="1">
        <v>3</v>
      </c>
      <c r="N87" s="1">
        <v>17.010000000000002</v>
      </c>
      <c r="Q87" t="s">
        <v>739</v>
      </c>
      <c r="R87" s="3" t="s">
        <v>598</v>
      </c>
    </row>
    <row r="88" spans="1:18">
      <c r="E88" s="1">
        <v>0.5</v>
      </c>
      <c r="G88" s="1">
        <v>0.88200000000000001</v>
      </c>
      <c r="I88" s="1">
        <v>1.5</v>
      </c>
      <c r="K88" s="1">
        <v>11</v>
      </c>
      <c r="L88" s="1">
        <v>15.9</v>
      </c>
      <c r="M88" s="1">
        <v>3</v>
      </c>
      <c r="N88" s="1">
        <v>29.61</v>
      </c>
      <c r="Q88"/>
    </row>
    <row r="89" spans="1:18">
      <c r="E89" s="1">
        <v>0.5</v>
      </c>
      <c r="F89" s="1">
        <v>0.06</v>
      </c>
      <c r="G89" s="1">
        <v>1.96</v>
      </c>
      <c r="I89" s="1">
        <v>1.6</v>
      </c>
      <c r="K89" s="1">
        <v>8.3000000000000007</v>
      </c>
      <c r="L89" s="1">
        <v>15.4</v>
      </c>
      <c r="M89" s="1">
        <v>3</v>
      </c>
      <c r="N89" s="1">
        <v>24.3</v>
      </c>
      <c r="Q89"/>
    </row>
    <row r="90" spans="1:18">
      <c r="A90" t="s">
        <v>740</v>
      </c>
      <c r="B90" s="8" t="s">
        <v>742</v>
      </c>
      <c r="C90" t="s">
        <v>743</v>
      </c>
      <c r="D90" s="7" t="s">
        <v>741</v>
      </c>
      <c r="E90" s="1">
        <v>0.25</v>
      </c>
      <c r="F90" s="1">
        <v>1.5980000000000001</v>
      </c>
      <c r="G90" s="1">
        <v>0.80100000000000005</v>
      </c>
      <c r="H90" s="1">
        <v>-8</v>
      </c>
      <c r="I90" s="1">
        <v>2</v>
      </c>
      <c r="J90" s="1">
        <v>-9</v>
      </c>
      <c r="K90" s="1">
        <v>0</v>
      </c>
      <c r="L90" s="1">
        <v>13.7</v>
      </c>
      <c r="M90" s="1">
        <v>2.5</v>
      </c>
      <c r="N90" s="1">
        <v>35</v>
      </c>
      <c r="P90" s="1">
        <v>7.4999999999999997E-2</v>
      </c>
      <c r="Q90" t="s">
        <v>744</v>
      </c>
      <c r="R90" s="3" t="s">
        <v>5</v>
      </c>
    </row>
    <row r="91" spans="1:18">
      <c r="A91" t="s">
        <v>745</v>
      </c>
      <c r="B91" s="8" t="s">
        <v>747</v>
      </c>
      <c r="C91" t="s">
        <v>748</v>
      </c>
      <c r="D91" s="7" t="s">
        <v>746</v>
      </c>
      <c r="E91" s="1">
        <v>0.35</v>
      </c>
      <c r="G91" s="1">
        <v>2.4</v>
      </c>
      <c r="H91" s="1">
        <v>-27.6</v>
      </c>
      <c r="I91" s="1">
        <v>3.18</v>
      </c>
      <c r="L91" s="1">
        <v>13.8</v>
      </c>
      <c r="M91" s="1">
        <v>2</v>
      </c>
      <c r="N91" s="1">
        <v>8.6999999999999993</v>
      </c>
      <c r="Q91" t="s">
        <v>749</v>
      </c>
      <c r="R91" s="3" t="s">
        <v>750</v>
      </c>
    </row>
    <row r="92" spans="1:18">
      <c r="E92" s="1">
        <v>0.35</v>
      </c>
      <c r="G92" s="1">
        <v>5.2</v>
      </c>
      <c r="H92" s="1">
        <v>-18</v>
      </c>
      <c r="I92" s="1">
        <v>2.79</v>
      </c>
      <c r="L92" s="1">
        <v>18.399999999999999</v>
      </c>
      <c r="M92" s="1">
        <v>2</v>
      </c>
      <c r="N92" s="1">
        <v>13</v>
      </c>
      <c r="Q92"/>
    </row>
    <row r="93" spans="1:18">
      <c r="E93" s="1">
        <v>0.35</v>
      </c>
      <c r="G93" s="1">
        <v>57</v>
      </c>
      <c r="H93" s="1">
        <v>-17.5</v>
      </c>
      <c r="I93" s="1">
        <v>2.73</v>
      </c>
      <c r="L93" s="1">
        <v>17.399999999999999</v>
      </c>
      <c r="M93" s="1">
        <v>2</v>
      </c>
      <c r="N93" s="1">
        <v>13</v>
      </c>
      <c r="Q93"/>
    </row>
    <row r="94" spans="1:18">
      <c r="A94" t="s">
        <v>756</v>
      </c>
      <c r="B94" s="8" t="s">
        <v>755</v>
      </c>
      <c r="C94" t="s">
        <v>758</v>
      </c>
      <c r="D94" s="7" t="s">
        <v>757</v>
      </c>
      <c r="E94" s="1">
        <v>0.18</v>
      </c>
      <c r="F94" s="1">
        <v>5.4</v>
      </c>
      <c r="G94" s="1">
        <v>5.3</v>
      </c>
      <c r="H94" s="1">
        <v>-10</v>
      </c>
      <c r="I94" s="1">
        <v>2.5</v>
      </c>
      <c r="K94" s="1">
        <v>-5.5</v>
      </c>
      <c r="L94" s="1">
        <v>21</v>
      </c>
      <c r="M94" s="1">
        <v>2.7</v>
      </c>
      <c r="N94" s="1">
        <v>27</v>
      </c>
      <c r="Q94" t="s">
        <v>759</v>
      </c>
      <c r="R94" s="3" t="s">
        <v>5</v>
      </c>
    </row>
    <row r="95" spans="1:18">
      <c r="A95" t="s">
        <v>756</v>
      </c>
      <c r="B95" s="8" t="s">
        <v>760</v>
      </c>
      <c r="C95" t="s">
        <v>763</v>
      </c>
      <c r="D95" s="7" t="s">
        <v>761</v>
      </c>
      <c r="E95" s="1">
        <v>0.12</v>
      </c>
      <c r="F95" s="1">
        <v>10</v>
      </c>
      <c r="G95" s="1">
        <v>60</v>
      </c>
      <c r="H95" s="1">
        <v>-10</v>
      </c>
      <c r="I95" s="1">
        <v>3.4</v>
      </c>
      <c r="J95" s="1">
        <v>-20</v>
      </c>
      <c r="K95" s="1">
        <v>-8.5</v>
      </c>
      <c r="L95" s="1">
        <v>17</v>
      </c>
      <c r="M95" s="1">
        <v>1.8</v>
      </c>
      <c r="N95" s="1">
        <v>10.8</v>
      </c>
      <c r="P95" s="1">
        <v>0.78</v>
      </c>
      <c r="Q95" t="s">
        <v>762</v>
      </c>
      <c r="R95" s="3" t="s">
        <v>5</v>
      </c>
    </row>
    <row r="96" spans="1:18">
      <c r="A96" t="s">
        <v>768</v>
      </c>
      <c r="B96" s="8" t="s">
        <v>2015</v>
      </c>
      <c r="C96" t="s">
        <v>2016</v>
      </c>
      <c r="D96" s="7" t="s">
        <v>2017</v>
      </c>
      <c r="E96" s="1">
        <v>0.25</v>
      </c>
      <c r="G96" s="1">
        <v>2.2000000000000002</v>
      </c>
      <c r="I96" s="1">
        <v>3</v>
      </c>
      <c r="J96" s="1">
        <v>-26</v>
      </c>
      <c r="L96" s="1">
        <v>20</v>
      </c>
      <c r="M96" s="1">
        <v>3</v>
      </c>
      <c r="N96" s="1">
        <v>30</v>
      </c>
      <c r="P96" s="1">
        <v>1.3</v>
      </c>
      <c r="Q96" t="s">
        <v>2018</v>
      </c>
      <c r="R96" s="3" t="s">
        <v>5</v>
      </c>
    </row>
    <row r="97" spans="1:18">
      <c r="A97" t="s">
        <v>768</v>
      </c>
      <c r="B97" s="8" t="s">
        <v>765</v>
      </c>
      <c r="C97" t="s">
        <v>767</v>
      </c>
      <c r="D97" s="7" t="s">
        <v>764</v>
      </c>
      <c r="E97" s="6" t="s">
        <v>5</v>
      </c>
      <c r="F97" s="1">
        <v>2.1</v>
      </c>
      <c r="G97" s="1">
        <v>4.05</v>
      </c>
      <c r="H97" s="1">
        <v>-10</v>
      </c>
      <c r="I97" s="1">
        <v>3</v>
      </c>
      <c r="L97" s="1">
        <v>11</v>
      </c>
      <c r="M97" s="1">
        <v>2.5</v>
      </c>
      <c r="Q97" t="s">
        <v>766</v>
      </c>
      <c r="R97" s="3" t="s">
        <v>5</v>
      </c>
    </row>
    <row r="98" spans="1:18">
      <c r="A98" t="s">
        <v>768</v>
      </c>
      <c r="B98" s="8" t="s">
        <v>769</v>
      </c>
      <c r="C98" t="s">
        <v>772</v>
      </c>
      <c r="D98" s="7" t="s">
        <v>770</v>
      </c>
      <c r="E98" s="1">
        <v>0.35</v>
      </c>
      <c r="F98" s="1">
        <v>8.0000000000000002E-3</v>
      </c>
      <c r="G98" s="1">
        <v>0.66600000000000004</v>
      </c>
      <c r="I98" s="1">
        <v>8</v>
      </c>
      <c r="K98" s="1">
        <v>10</v>
      </c>
      <c r="L98" s="1">
        <v>14</v>
      </c>
      <c r="M98" s="1">
        <v>2.7749999999999999</v>
      </c>
      <c r="Q98" s="103" t="s">
        <v>771</v>
      </c>
      <c r="R98" s="3" t="s">
        <v>5</v>
      </c>
    </row>
    <row r="99" spans="1:18">
      <c r="A99" t="s">
        <v>781</v>
      </c>
      <c r="B99" s="8" t="s">
        <v>786</v>
      </c>
      <c r="C99" t="s">
        <v>788</v>
      </c>
      <c r="D99" s="7" t="s">
        <v>785</v>
      </c>
      <c r="E99" s="1">
        <v>0.13</v>
      </c>
      <c r="F99" s="1">
        <v>5</v>
      </c>
      <c r="G99" s="1">
        <v>61.5</v>
      </c>
      <c r="H99" s="1">
        <v>-12</v>
      </c>
      <c r="I99" s="1">
        <v>5</v>
      </c>
      <c r="J99" s="1">
        <v>-29</v>
      </c>
      <c r="L99" s="1">
        <v>20</v>
      </c>
      <c r="M99" s="1">
        <v>2.7</v>
      </c>
      <c r="N99" s="1">
        <v>27</v>
      </c>
      <c r="Q99" t="s">
        <v>787</v>
      </c>
      <c r="R99" s="3" t="s">
        <v>5</v>
      </c>
    </row>
    <row r="100" spans="1:18">
      <c r="A100" t="s">
        <v>828</v>
      </c>
      <c r="B100" s="8" t="s">
        <v>827</v>
      </c>
      <c r="C100" t="s">
        <v>830</v>
      </c>
      <c r="D100" s="7" t="s">
        <v>829</v>
      </c>
      <c r="E100" s="6">
        <v>0.5</v>
      </c>
      <c r="F100" s="1">
        <v>7</v>
      </c>
      <c r="G100" s="1">
        <v>161.5</v>
      </c>
      <c r="H100" s="1">
        <v>-10</v>
      </c>
      <c r="I100" s="1">
        <v>11</v>
      </c>
      <c r="L100" s="1">
        <v>21</v>
      </c>
      <c r="M100" s="1">
        <v>3.3</v>
      </c>
      <c r="N100" s="1">
        <v>132</v>
      </c>
      <c r="Q100" t="s">
        <v>831</v>
      </c>
      <c r="R100" s="3" t="s">
        <v>5</v>
      </c>
    </row>
    <row r="101" spans="1:18">
      <c r="A101" s="54" t="s">
        <v>845</v>
      </c>
      <c r="B101" s="54"/>
      <c r="C101" s="54"/>
      <c r="D101" s="54"/>
      <c r="E101" s="95"/>
      <c r="F101" s="95"/>
      <c r="G101" s="95"/>
      <c r="H101" s="95"/>
      <c r="I101" s="95"/>
      <c r="J101" s="95"/>
      <c r="K101" s="95"/>
      <c r="L101" s="95"/>
      <c r="M101" s="95"/>
      <c r="N101" s="95"/>
      <c r="O101" s="95"/>
      <c r="P101" s="95"/>
      <c r="Q101" s="54"/>
    </row>
    <row r="102" spans="1:18">
      <c r="A102" t="s">
        <v>846</v>
      </c>
      <c r="B102" s="8" t="s">
        <v>860</v>
      </c>
      <c r="C102" t="s">
        <v>861</v>
      </c>
      <c r="D102" s="7" t="s">
        <v>859</v>
      </c>
      <c r="E102" s="1">
        <v>0.13</v>
      </c>
      <c r="F102" s="1">
        <v>17</v>
      </c>
      <c r="G102" s="1">
        <v>88.5</v>
      </c>
      <c r="H102" s="1">
        <v>-5</v>
      </c>
      <c r="I102" s="1">
        <v>8</v>
      </c>
      <c r="L102" s="1">
        <v>19</v>
      </c>
      <c r="M102" s="1">
        <v>1.5</v>
      </c>
      <c r="N102" s="1">
        <v>25.2</v>
      </c>
      <c r="O102" s="1">
        <v>0.105</v>
      </c>
      <c r="P102" s="1">
        <v>0.3</v>
      </c>
      <c r="Q102" t="s">
        <v>862</v>
      </c>
      <c r="R102" s="3" t="s">
        <v>5</v>
      </c>
    </row>
    <row r="103" spans="1:18">
      <c r="A103" t="s">
        <v>846</v>
      </c>
      <c r="B103" s="8" t="s">
        <v>887</v>
      </c>
      <c r="C103" t="s">
        <v>889</v>
      </c>
      <c r="D103" s="7" t="s">
        <v>890</v>
      </c>
      <c r="E103" s="1">
        <v>0.35</v>
      </c>
      <c r="G103" s="1">
        <v>0.9</v>
      </c>
      <c r="I103" s="1">
        <v>0.9</v>
      </c>
      <c r="K103" s="1">
        <v>11</v>
      </c>
      <c r="L103" s="1">
        <v>16</v>
      </c>
      <c r="M103" s="1">
        <v>2.8</v>
      </c>
      <c r="N103" s="1">
        <v>28</v>
      </c>
      <c r="Q103" t="s">
        <v>888</v>
      </c>
      <c r="R103" s="3" t="s">
        <v>5</v>
      </c>
    </row>
    <row r="104" spans="1:18">
      <c r="A104" t="s">
        <v>891</v>
      </c>
      <c r="B104" s="8" t="s">
        <v>908</v>
      </c>
      <c r="C104" t="s">
        <v>911</v>
      </c>
      <c r="D104" s="7" t="s">
        <v>909</v>
      </c>
      <c r="E104" s="1">
        <v>0.18</v>
      </c>
      <c r="G104" s="1">
        <v>27.2</v>
      </c>
      <c r="H104" s="1">
        <v>-12</v>
      </c>
      <c r="I104" s="1">
        <v>8.9</v>
      </c>
      <c r="J104" s="1">
        <v>-25.5</v>
      </c>
      <c r="K104" s="1">
        <v>-14</v>
      </c>
      <c r="L104" s="1">
        <v>14</v>
      </c>
      <c r="M104" s="1">
        <v>1.2</v>
      </c>
      <c r="N104" s="1">
        <v>7.9</v>
      </c>
      <c r="P104" s="1">
        <v>0.33</v>
      </c>
      <c r="Q104" t="s">
        <v>910</v>
      </c>
      <c r="R104" s="3" t="s">
        <v>5</v>
      </c>
    </row>
    <row r="105" spans="1:18">
      <c r="A105" t="s">
        <v>917</v>
      </c>
      <c r="B105" s="8" t="s">
        <v>925</v>
      </c>
      <c r="C105" t="s">
        <v>927</v>
      </c>
      <c r="D105" s="7" t="s">
        <v>926</v>
      </c>
      <c r="E105" s="1">
        <v>0.13</v>
      </c>
      <c r="G105" s="1">
        <v>94</v>
      </c>
      <c r="H105" s="1">
        <v>-9</v>
      </c>
      <c r="I105" s="1">
        <v>7</v>
      </c>
      <c r="L105" s="1">
        <v>5</v>
      </c>
      <c r="N105" s="1">
        <v>11.2</v>
      </c>
      <c r="Q105" t="s">
        <v>928</v>
      </c>
      <c r="R105" s="3" t="s">
        <v>445</v>
      </c>
    </row>
    <row r="106" spans="1:18">
      <c r="E106" s="1">
        <v>0.13</v>
      </c>
      <c r="G106" s="1">
        <v>94</v>
      </c>
      <c r="H106" s="1">
        <v>-9</v>
      </c>
      <c r="I106" s="1">
        <v>7.7</v>
      </c>
      <c r="L106" s="1">
        <v>10.5</v>
      </c>
      <c r="N106" s="1">
        <v>21.3</v>
      </c>
      <c r="Q106"/>
    </row>
    <row r="107" spans="1:18">
      <c r="A107" t="s">
        <v>917</v>
      </c>
      <c r="B107" s="8" t="s">
        <v>930</v>
      </c>
      <c r="C107" t="s">
        <v>931</v>
      </c>
      <c r="D107" s="7" t="s">
        <v>929</v>
      </c>
      <c r="E107" s="1">
        <v>0.18</v>
      </c>
      <c r="G107" s="1">
        <v>80.5</v>
      </c>
      <c r="H107" s="1">
        <v>-12</v>
      </c>
      <c r="I107" s="1">
        <v>9</v>
      </c>
      <c r="L107" s="1">
        <v>20</v>
      </c>
      <c r="M107" s="1">
        <v>1.8</v>
      </c>
      <c r="N107" s="1">
        <v>63</v>
      </c>
      <c r="Q107" t="s">
        <v>932</v>
      </c>
      <c r="R107" s="3" t="s">
        <v>5</v>
      </c>
    </row>
    <row r="108" spans="1:18">
      <c r="A108" t="s">
        <v>917</v>
      </c>
      <c r="B108" s="8" t="s">
        <v>934</v>
      </c>
      <c r="C108" t="s">
        <v>936</v>
      </c>
      <c r="D108" s="7" t="s">
        <v>933</v>
      </c>
      <c r="E108" s="1">
        <v>0.25</v>
      </c>
      <c r="G108" s="1">
        <v>0.9</v>
      </c>
      <c r="H108" s="1">
        <v>-18</v>
      </c>
      <c r="I108" s="1">
        <v>0.75</v>
      </c>
      <c r="J108" s="1">
        <v>-17</v>
      </c>
      <c r="K108" s="1">
        <v>10</v>
      </c>
      <c r="L108" s="1">
        <v>34</v>
      </c>
      <c r="M108" s="1">
        <v>1.8</v>
      </c>
      <c r="N108" s="1">
        <v>190</v>
      </c>
      <c r="P108" s="1">
        <v>1.43</v>
      </c>
      <c r="Q108" t="s">
        <v>935</v>
      </c>
      <c r="R108" s="3" t="s">
        <v>937</v>
      </c>
    </row>
    <row r="109" spans="1:18">
      <c r="B109" s="8"/>
      <c r="D109" s="7"/>
      <c r="E109" s="1">
        <v>0.25</v>
      </c>
      <c r="G109" s="1">
        <v>1.8</v>
      </c>
      <c r="H109" s="1">
        <v>-20</v>
      </c>
      <c r="I109" s="1">
        <v>0.9</v>
      </c>
      <c r="L109" s="1">
        <v>24</v>
      </c>
      <c r="M109" s="1">
        <v>1.8</v>
      </c>
      <c r="N109" s="1">
        <v>190</v>
      </c>
      <c r="Q109" s="3"/>
    </row>
    <row r="110" spans="1:18">
      <c r="A110" t="s">
        <v>975</v>
      </c>
      <c r="B110" s="8" t="s">
        <v>984</v>
      </c>
      <c r="C110" t="s">
        <v>986</v>
      </c>
      <c r="D110" s="7" t="s">
        <v>985</v>
      </c>
      <c r="E110" s="1">
        <v>0.25</v>
      </c>
      <c r="F110" s="1">
        <v>5.0999999999999996</v>
      </c>
      <c r="G110" s="1">
        <v>28.05</v>
      </c>
      <c r="H110" s="1">
        <v>-7</v>
      </c>
      <c r="I110" s="1">
        <v>2</v>
      </c>
      <c r="J110" s="1">
        <v>-11</v>
      </c>
      <c r="K110" s="1">
        <v>-1.3</v>
      </c>
      <c r="L110" s="1">
        <v>13</v>
      </c>
      <c r="M110" s="1">
        <v>2.7</v>
      </c>
      <c r="N110" s="1">
        <v>98</v>
      </c>
      <c r="P110" s="1">
        <v>0.7</v>
      </c>
      <c r="Q110" t="s">
        <v>2224</v>
      </c>
      <c r="R110" s="3" t="s">
        <v>5</v>
      </c>
    </row>
    <row r="111" spans="1:18">
      <c r="A111" t="s">
        <v>1007</v>
      </c>
      <c r="B111" s="8" t="s">
        <v>1008</v>
      </c>
      <c r="C111" t="s">
        <v>1010</v>
      </c>
      <c r="D111" s="7" t="s">
        <v>1009</v>
      </c>
      <c r="E111" s="6" t="s">
        <v>373</v>
      </c>
      <c r="F111" s="1">
        <v>1</v>
      </c>
      <c r="G111" s="1">
        <v>5.4</v>
      </c>
      <c r="I111" s="1">
        <v>2.6</v>
      </c>
      <c r="K111" s="1">
        <v>3</v>
      </c>
      <c r="L111" s="1">
        <v>15</v>
      </c>
      <c r="M111" s="1">
        <v>3.3</v>
      </c>
      <c r="N111" s="1">
        <v>26.4</v>
      </c>
      <c r="Q111" t="s">
        <v>2225</v>
      </c>
      <c r="R111" s="3" t="s">
        <v>5</v>
      </c>
    </row>
    <row r="112" spans="1:18">
      <c r="A112" t="s">
        <v>1007</v>
      </c>
      <c r="B112" s="8" t="s">
        <v>1011</v>
      </c>
      <c r="C112" t="s">
        <v>1013</v>
      </c>
      <c r="D112" s="7" t="s">
        <v>1012</v>
      </c>
      <c r="E112" s="1">
        <v>0.13</v>
      </c>
      <c r="F112" s="1">
        <v>15</v>
      </c>
      <c r="G112" s="1">
        <v>81.3</v>
      </c>
      <c r="H112" s="1">
        <v>-7.5</v>
      </c>
      <c r="I112" s="1">
        <v>5</v>
      </c>
      <c r="K112" s="1">
        <v>-24</v>
      </c>
      <c r="L112" s="1">
        <v>21</v>
      </c>
      <c r="M112" s="1">
        <v>1.6</v>
      </c>
      <c r="N112" s="1">
        <v>67.2</v>
      </c>
      <c r="O112" s="1">
        <v>0.3286</v>
      </c>
      <c r="Q112" t="s">
        <v>2226</v>
      </c>
      <c r="R112" s="3" t="s">
        <v>5</v>
      </c>
    </row>
    <row r="113" spans="1:18">
      <c r="A113" t="s">
        <v>1025</v>
      </c>
      <c r="B113" s="8" t="s">
        <v>1029</v>
      </c>
      <c r="C113" t="s">
        <v>1030</v>
      </c>
      <c r="D113" s="7" t="s">
        <v>1028</v>
      </c>
      <c r="E113" s="1">
        <v>0.25</v>
      </c>
      <c r="F113" s="1">
        <v>8</v>
      </c>
      <c r="G113" s="1">
        <v>33</v>
      </c>
      <c r="H113" s="1">
        <v>-10</v>
      </c>
      <c r="I113" s="1">
        <v>3.1</v>
      </c>
      <c r="K113" s="1">
        <v>-12.5</v>
      </c>
      <c r="L113" s="1">
        <v>28.5</v>
      </c>
      <c r="M113" s="1">
        <v>2</v>
      </c>
      <c r="N113" s="1">
        <v>80</v>
      </c>
      <c r="Q113" t="s">
        <v>2227</v>
      </c>
      <c r="R113" s="3" t="s">
        <v>5</v>
      </c>
    </row>
    <row r="114" spans="1:18">
      <c r="A114" s="2" t="s">
        <v>3436</v>
      </c>
      <c r="B114" s="8" t="s">
        <v>2549</v>
      </c>
      <c r="C114" t="s">
        <v>2550</v>
      </c>
      <c r="D114" s="7" t="s">
        <v>2551</v>
      </c>
      <c r="E114" s="1">
        <v>0.25</v>
      </c>
      <c r="F114" s="1">
        <v>0.6</v>
      </c>
      <c r="G114" s="1">
        <v>1.5</v>
      </c>
      <c r="H114" s="1">
        <v>-10</v>
      </c>
      <c r="I114" s="1">
        <v>0.8</v>
      </c>
      <c r="K114" s="1">
        <v>6.8</v>
      </c>
      <c r="L114" s="1">
        <v>14</v>
      </c>
      <c r="N114" s="1">
        <v>52</v>
      </c>
      <c r="O114" s="1">
        <f>1.3*1.1</f>
        <v>1.4300000000000002</v>
      </c>
      <c r="Q114" s="103" t="s">
        <v>2556</v>
      </c>
      <c r="R114" s="3"/>
    </row>
    <row r="115" spans="1:18">
      <c r="A115" s="2" t="s">
        <v>3437</v>
      </c>
      <c r="B115" s="8" t="s">
        <v>2717</v>
      </c>
      <c r="C115" t="s">
        <v>2718</v>
      </c>
      <c r="D115" s="7" t="s">
        <v>2719</v>
      </c>
      <c r="E115" s="1">
        <v>0.13</v>
      </c>
      <c r="F115" s="1">
        <v>40</v>
      </c>
      <c r="G115" s="1">
        <v>150</v>
      </c>
      <c r="H115" s="1">
        <v>-3</v>
      </c>
      <c r="I115" s="1">
        <v>10</v>
      </c>
      <c r="J115" s="1">
        <v>-44</v>
      </c>
      <c r="L115" s="1">
        <v>22</v>
      </c>
      <c r="N115" s="1">
        <v>165</v>
      </c>
      <c r="P115" s="1">
        <v>2</v>
      </c>
      <c r="Q115" s="103" t="s">
        <v>2820</v>
      </c>
      <c r="R115" s="3"/>
    </row>
    <row r="116" spans="1:18">
      <c r="A116" s="2" t="s">
        <v>3437</v>
      </c>
      <c r="B116" s="8" t="s">
        <v>2723</v>
      </c>
      <c r="C116" t="s">
        <v>2724</v>
      </c>
      <c r="D116" s="7" t="s">
        <v>2725</v>
      </c>
      <c r="E116" s="1">
        <v>0.13</v>
      </c>
      <c r="F116" s="1">
        <v>20</v>
      </c>
      <c r="G116" s="1">
        <v>52</v>
      </c>
      <c r="H116" s="1">
        <v>-15</v>
      </c>
      <c r="I116" s="1">
        <v>4.5</v>
      </c>
      <c r="L116" s="1">
        <v>20.100000000000001</v>
      </c>
      <c r="M116" s="1">
        <v>1</v>
      </c>
      <c r="N116" s="1">
        <v>15</v>
      </c>
      <c r="O116" s="1">
        <v>0.6</v>
      </c>
      <c r="Q116" s="103"/>
      <c r="R116" s="3"/>
    </row>
    <row r="117" spans="1:18">
      <c r="A117" s="2" t="s">
        <v>3163</v>
      </c>
      <c r="B117" s="8" t="s">
        <v>2974</v>
      </c>
      <c r="C117" t="s">
        <v>2975</v>
      </c>
      <c r="D117" s="7" t="s">
        <v>2980</v>
      </c>
      <c r="E117" s="1">
        <v>0.13</v>
      </c>
      <c r="F117" s="1">
        <v>23</v>
      </c>
      <c r="G117" s="1">
        <v>290</v>
      </c>
      <c r="H117" s="1">
        <v>-10</v>
      </c>
      <c r="J117" s="1">
        <v>-9</v>
      </c>
      <c r="L117" s="1">
        <v>12.9</v>
      </c>
      <c r="M117" s="1">
        <v>2</v>
      </c>
      <c r="N117" s="1">
        <v>136</v>
      </c>
      <c r="P117" s="1">
        <v>0.246</v>
      </c>
      <c r="Q117" s="103" t="s">
        <v>2981</v>
      </c>
      <c r="R117" s="3"/>
    </row>
    <row r="118" spans="1:18">
      <c r="A118" s="2" t="s">
        <v>3163</v>
      </c>
      <c r="B118" s="8" t="s">
        <v>2982</v>
      </c>
      <c r="C118" t="s">
        <v>2983</v>
      </c>
      <c r="D118" s="7" t="s">
        <v>2984</v>
      </c>
      <c r="E118" s="1">
        <v>0.09</v>
      </c>
      <c r="F118" s="1">
        <v>40</v>
      </c>
      <c r="G118" s="1">
        <v>30</v>
      </c>
      <c r="I118" s="1">
        <v>4.8</v>
      </c>
      <c r="J118" s="1">
        <v>-25</v>
      </c>
      <c r="K118" s="1">
        <v>-15</v>
      </c>
      <c r="L118" s="1">
        <v>25.5</v>
      </c>
      <c r="M118" s="1">
        <v>2</v>
      </c>
      <c r="N118" s="1">
        <v>96</v>
      </c>
      <c r="O118" s="1">
        <v>0.78</v>
      </c>
      <c r="P118" s="1">
        <v>1.5</v>
      </c>
      <c r="Q118" s="103" t="s">
        <v>2985</v>
      </c>
      <c r="R118" s="3"/>
    </row>
    <row r="119" spans="1:18">
      <c r="A119" s="2" t="s">
        <v>3431</v>
      </c>
      <c r="B119" s="8" t="s">
        <v>3432</v>
      </c>
      <c r="C119" t="s">
        <v>3433</v>
      </c>
      <c r="D119" s="7" t="s">
        <v>3434</v>
      </c>
      <c r="E119" s="1">
        <v>0.13</v>
      </c>
      <c r="F119" s="1">
        <v>146</v>
      </c>
      <c r="G119" s="1">
        <v>204</v>
      </c>
      <c r="H119" s="1">
        <v>-10</v>
      </c>
      <c r="I119" s="1">
        <v>7.1</v>
      </c>
      <c r="J119" s="1">
        <v>-37</v>
      </c>
      <c r="L119" s="1">
        <v>37</v>
      </c>
      <c r="M119" s="1">
        <v>3</v>
      </c>
      <c r="N119" s="1">
        <v>152</v>
      </c>
      <c r="P119" s="1">
        <v>0.53</v>
      </c>
      <c r="Q119" s="103" t="s">
        <v>3435</v>
      </c>
      <c r="R119" s="3"/>
    </row>
    <row r="120" spans="1:18">
      <c r="A120" s="2" t="s">
        <v>3431</v>
      </c>
      <c r="B120" s="8" t="s">
        <v>3445</v>
      </c>
      <c r="C120" t="s">
        <v>3446</v>
      </c>
      <c r="D120" s="7" t="s">
        <v>3447</v>
      </c>
      <c r="E120" s="1">
        <v>5.5E-2</v>
      </c>
      <c r="F120" s="1">
        <v>35</v>
      </c>
      <c r="G120" s="1">
        <v>147.5</v>
      </c>
      <c r="H120" s="1">
        <v>-5</v>
      </c>
      <c r="I120" s="1">
        <v>5</v>
      </c>
      <c r="J120" s="1">
        <v>-22.8</v>
      </c>
      <c r="L120" s="1">
        <v>22.8</v>
      </c>
      <c r="N120" s="1">
        <v>40</v>
      </c>
      <c r="O120" s="1">
        <v>0.19</v>
      </c>
      <c r="Q120" s="103" t="s">
        <v>3448</v>
      </c>
      <c r="R120" s="3"/>
    </row>
    <row r="121" spans="1:18" ht="17.25">
      <c r="A121" s="2" t="s">
        <v>3456</v>
      </c>
      <c r="B121" s="8" t="s">
        <v>3488</v>
      </c>
      <c r="C121" t="s">
        <v>3489</v>
      </c>
      <c r="D121" t="s">
        <v>3490</v>
      </c>
      <c r="E121" s="1">
        <v>0.13</v>
      </c>
      <c r="F121" s="1">
        <v>25</v>
      </c>
      <c r="G121" s="1">
        <v>195</v>
      </c>
      <c r="H121" s="1">
        <v>-5</v>
      </c>
      <c r="I121" s="1">
        <v>9</v>
      </c>
      <c r="L121" s="1">
        <v>18.100000000000001</v>
      </c>
      <c r="N121" s="1">
        <v>35</v>
      </c>
      <c r="O121" s="1">
        <v>7.0000000000000007E-2</v>
      </c>
      <c r="Q121" s="103" t="s">
        <v>3491</v>
      </c>
      <c r="R121" s="3"/>
    </row>
    <row r="122" spans="1:18">
      <c r="A122" s="56" t="s">
        <v>1031</v>
      </c>
      <c r="B122" s="55"/>
      <c r="C122" s="55"/>
      <c r="D122" s="55"/>
      <c r="E122" s="96"/>
      <c r="F122" s="96"/>
      <c r="G122" s="96"/>
      <c r="H122" s="96"/>
      <c r="I122" s="96"/>
      <c r="J122" s="96"/>
      <c r="K122" s="96"/>
      <c r="L122" s="96"/>
      <c r="M122" s="96"/>
      <c r="N122" s="96"/>
      <c r="O122" s="96"/>
      <c r="P122" s="96"/>
      <c r="Q122" s="55"/>
    </row>
    <row r="123" spans="1:18">
      <c r="A123" t="s">
        <v>1041</v>
      </c>
      <c r="B123" s="8" t="s">
        <v>1045</v>
      </c>
      <c r="C123" t="s">
        <v>1047</v>
      </c>
      <c r="D123" s="7" t="s">
        <v>1046</v>
      </c>
      <c r="E123" s="1">
        <v>0.5</v>
      </c>
      <c r="G123" s="1">
        <v>2</v>
      </c>
      <c r="H123" s="1">
        <v>-20</v>
      </c>
      <c r="I123" s="1">
        <v>1.1499999999999999</v>
      </c>
      <c r="K123" s="1">
        <v>15.8</v>
      </c>
      <c r="L123" s="1">
        <v>18</v>
      </c>
      <c r="Q123" t="s">
        <v>2228</v>
      </c>
      <c r="R123" s="3" t="s">
        <v>5</v>
      </c>
    </row>
    <row r="124" spans="1:18">
      <c r="A124" t="s">
        <v>1041</v>
      </c>
      <c r="B124" s="8" t="s">
        <v>1052</v>
      </c>
      <c r="C124" t="s">
        <v>1053</v>
      </c>
      <c r="D124" s="7" t="s">
        <v>1051</v>
      </c>
      <c r="E124" s="1">
        <v>0.13</v>
      </c>
      <c r="F124" s="1">
        <v>0.3</v>
      </c>
      <c r="G124" s="1">
        <v>2.25</v>
      </c>
      <c r="H124" s="1">
        <v>-10</v>
      </c>
      <c r="I124" s="1">
        <v>0.8</v>
      </c>
      <c r="J124" s="1">
        <v>-10</v>
      </c>
      <c r="K124" s="1">
        <v>8.4149999999999991</v>
      </c>
      <c r="L124" s="1">
        <v>16</v>
      </c>
      <c r="M124" s="1">
        <v>3</v>
      </c>
      <c r="N124" s="1">
        <v>24</v>
      </c>
      <c r="Q124" t="s">
        <v>2229</v>
      </c>
      <c r="R124" s="3" t="s">
        <v>5</v>
      </c>
    </row>
    <row r="125" spans="1:18">
      <c r="A125" t="s">
        <v>1063</v>
      </c>
      <c r="B125" s="8" t="s">
        <v>1068</v>
      </c>
      <c r="C125" t="s">
        <v>1069</v>
      </c>
      <c r="D125" s="7" t="s">
        <v>1067</v>
      </c>
      <c r="E125" s="1">
        <v>0.8</v>
      </c>
      <c r="F125" s="1">
        <v>2</v>
      </c>
      <c r="G125" s="1">
        <v>5</v>
      </c>
      <c r="H125" s="1">
        <v>-12</v>
      </c>
      <c r="I125" s="1">
        <v>2</v>
      </c>
      <c r="K125" s="1">
        <v>-13</v>
      </c>
      <c r="L125" s="1">
        <v>27</v>
      </c>
      <c r="N125" s="1">
        <v>54</v>
      </c>
      <c r="P125" s="1">
        <v>0.48980000000000001</v>
      </c>
      <c r="Q125" t="s">
        <v>2230</v>
      </c>
      <c r="R125" s="3" t="s">
        <v>1070</v>
      </c>
    </row>
    <row r="126" spans="1:18">
      <c r="E126" s="1">
        <v>0.8</v>
      </c>
      <c r="F126" s="1">
        <v>1.75</v>
      </c>
      <c r="G126" s="1">
        <v>5.125</v>
      </c>
      <c r="H126" s="1">
        <v>-8</v>
      </c>
      <c r="I126" s="1">
        <v>3.7</v>
      </c>
      <c r="K126" s="1">
        <v>-2.2999999999999998</v>
      </c>
      <c r="L126" s="1">
        <v>13</v>
      </c>
      <c r="N126" s="1">
        <v>48</v>
      </c>
      <c r="Q126"/>
    </row>
    <row r="127" spans="1:18">
      <c r="A127" t="s">
        <v>1063</v>
      </c>
      <c r="B127" s="8" t="s">
        <v>1072</v>
      </c>
      <c r="C127" t="s">
        <v>1073</v>
      </c>
      <c r="D127" s="7" t="s">
        <v>1071</v>
      </c>
      <c r="E127" s="1">
        <v>0.35</v>
      </c>
      <c r="F127" s="1">
        <v>2.2000000000000002</v>
      </c>
      <c r="G127" s="1">
        <v>5.2</v>
      </c>
      <c r="H127" s="1">
        <v>-10</v>
      </c>
      <c r="I127" s="1">
        <v>3.5</v>
      </c>
      <c r="J127" s="1">
        <v>-13.9</v>
      </c>
      <c r="K127" s="1">
        <v>-3.5</v>
      </c>
      <c r="L127" s="1">
        <v>19</v>
      </c>
      <c r="M127" s="1">
        <v>2</v>
      </c>
      <c r="N127" s="1">
        <v>26.4</v>
      </c>
      <c r="P127" s="1">
        <v>1.8645</v>
      </c>
      <c r="Q127" t="s">
        <v>2231</v>
      </c>
      <c r="R127" s="3" t="s">
        <v>5</v>
      </c>
    </row>
    <row r="128" spans="1:18">
      <c r="A128" t="s">
        <v>1063</v>
      </c>
      <c r="B128" s="8" t="s">
        <v>1077</v>
      </c>
      <c r="C128" t="s">
        <v>1079</v>
      </c>
      <c r="D128" s="7" t="s">
        <v>1078</v>
      </c>
      <c r="E128" s="6" t="s">
        <v>5</v>
      </c>
      <c r="G128" s="1">
        <v>5.5</v>
      </c>
      <c r="H128" s="1">
        <v>-20</v>
      </c>
      <c r="I128" s="1">
        <v>4.4000000000000004</v>
      </c>
      <c r="J128" s="1">
        <v>-10.4</v>
      </c>
      <c r="K128" s="1">
        <v>-2</v>
      </c>
      <c r="L128" s="1">
        <v>11</v>
      </c>
      <c r="M128" s="1">
        <v>2.8</v>
      </c>
      <c r="N128" s="1">
        <v>16</v>
      </c>
      <c r="O128" s="1">
        <v>0.49</v>
      </c>
      <c r="Q128" t="s">
        <v>2232</v>
      </c>
      <c r="R128" s="3" t="s">
        <v>5</v>
      </c>
    </row>
    <row r="129" spans="1:18">
      <c r="A129" t="s">
        <v>1086</v>
      </c>
      <c r="B129" s="8" t="s">
        <v>1094</v>
      </c>
      <c r="C129" t="s">
        <v>1096</v>
      </c>
      <c r="D129" s="7" t="s">
        <v>1095</v>
      </c>
      <c r="E129" s="1">
        <v>0.25</v>
      </c>
      <c r="F129" s="1">
        <v>7.8</v>
      </c>
      <c r="G129" s="1">
        <v>3.9</v>
      </c>
      <c r="H129" s="1">
        <v>-7.8</v>
      </c>
      <c r="I129" s="1">
        <v>3</v>
      </c>
      <c r="J129" s="1">
        <v>-12</v>
      </c>
      <c r="L129" s="1">
        <v>10.6</v>
      </c>
      <c r="M129" s="1">
        <v>1.8</v>
      </c>
      <c r="N129" s="1">
        <v>6.48</v>
      </c>
      <c r="O129" s="1">
        <v>0.13519999999999999</v>
      </c>
      <c r="P129" s="1">
        <v>0.44890000000000002</v>
      </c>
      <c r="Q129" t="s">
        <v>2233</v>
      </c>
      <c r="R129" s="3" t="s">
        <v>5</v>
      </c>
    </row>
    <row r="130" spans="1:18">
      <c r="A130" t="s">
        <v>1101</v>
      </c>
      <c r="B130" s="8" t="s">
        <v>1103</v>
      </c>
      <c r="C130" t="s">
        <v>1104</v>
      </c>
      <c r="D130" s="7" t="s">
        <v>1102</v>
      </c>
      <c r="E130" s="1">
        <v>0.18</v>
      </c>
      <c r="F130" s="1">
        <v>10</v>
      </c>
      <c r="G130" s="1">
        <v>5</v>
      </c>
      <c r="H130" s="1">
        <v>-7</v>
      </c>
      <c r="I130" s="1">
        <v>2.9</v>
      </c>
      <c r="J130" s="1">
        <v>-14.5</v>
      </c>
      <c r="K130" s="1">
        <v>-6.5</v>
      </c>
      <c r="L130" s="1">
        <v>13</v>
      </c>
      <c r="M130" s="1">
        <v>2.4</v>
      </c>
      <c r="N130" s="1">
        <v>9.6</v>
      </c>
      <c r="P130" s="1">
        <v>0.88</v>
      </c>
      <c r="Q130" t="s">
        <v>2234</v>
      </c>
      <c r="R130" s="3" t="s">
        <v>5</v>
      </c>
    </row>
    <row r="131" spans="1:18">
      <c r="A131" t="s">
        <v>1110</v>
      </c>
      <c r="B131" s="8" t="s">
        <v>1114</v>
      </c>
      <c r="C131" t="s">
        <v>1116</v>
      </c>
      <c r="D131" s="7" t="s">
        <v>1115</v>
      </c>
      <c r="E131" s="1">
        <v>0.18</v>
      </c>
      <c r="F131" s="1">
        <v>44</v>
      </c>
      <c r="G131" s="1">
        <v>72</v>
      </c>
      <c r="H131" s="1">
        <v>-15</v>
      </c>
      <c r="J131" s="1">
        <v>-12.8</v>
      </c>
      <c r="K131" s="1">
        <v>-6</v>
      </c>
      <c r="L131" s="1">
        <v>14</v>
      </c>
      <c r="Q131" t="s">
        <v>2235</v>
      </c>
      <c r="R131" s="3" t="s">
        <v>5</v>
      </c>
    </row>
    <row r="132" spans="1:18">
      <c r="A132" t="s">
        <v>1135</v>
      </c>
      <c r="B132" s="8" t="s">
        <v>1134</v>
      </c>
      <c r="C132" t="s">
        <v>1136</v>
      </c>
      <c r="D132" s="7" t="s">
        <v>1133</v>
      </c>
      <c r="E132" s="1">
        <v>0.18</v>
      </c>
      <c r="F132" s="1">
        <v>0.5</v>
      </c>
      <c r="G132" s="1">
        <v>10</v>
      </c>
      <c r="I132" s="1">
        <v>3</v>
      </c>
      <c r="K132" s="1">
        <v>-7</v>
      </c>
      <c r="L132" s="1">
        <v>15</v>
      </c>
      <c r="N132" s="1">
        <v>5</v>
      </c>
      <c r="P132" s="1">
        <v>0.73799999999999999</v>
      </c>
      <c r="Q132" t="s">
        <v>2236</v>
      </c>
      <c r="R132" s="3" t="s">
        <v>1137</v>
      </c>
    </row>
    <row r="133" spans="1:18">
      <c r="E133" s="1">
        <v>0.18</v>
      </c>
      <c r="F133" s="1">
        <v>2</v>
      </c>
      <c r="G133" s="1">
        <v>10</v>
      </c>
      <c r="I133" s="1">
        <v>2.7</v>
      </c>
      <c r="K133" s="1">
        <v>-13</v>
      </c>
      <c r="L133" s="1">
        <v>17</v>
      </c>
      <c r="N133" s="1">
        <v>2.7</v>
      </c>
      <c r="P133" s="1">
        <v>0.73799999999999999</v>
      </c>
      <c r="Q133"/>
    </row>
    <row r="134" spans="1:18">
      <c r="E134" s="1">
        <v>0.18</v>
      </c>
      <c r="F134" s="1">
        <v>0.5</v>
      </c>
      <c r="G134" s="1">
        <v>10</v>
      </c>
      <c r="I134" s="1">
        <v>2.5</v>
      </c>
      <c r="L134" s="1">
        <v>17</v>
      </c>
      <c r="N134" s="1">
        <v>1.8</v>
      </c>
      <c r="P134" s="1">
        <v>0.46</v>
      </c>
      <c r="Q134"/>
    </row>
    <row r="135" spans="1:18">
      <c r="E135" s="1">
        <v>0.18</v>
      </c>
      <c r="F135" s="1">
        <v>0.5</v>
      </c>
      <c r="G135" s="1">
        <v>10</v>
      </c>
      <c r="I135" s="1">
        <v>3.6</v>
      </c>
      <c r="K135" s="1">
        <v>-18</v>
      </c>
      <c r="L135" s="1">
        <v>10</v>
      </c>
      <c r="N135" s="1">
        <v>0.8</v>
      </c>
      <c r="P135" s="1">
        <v>0.46</v>
      </c>
      <c r="Q135"/>
    </row>
    <row r="136" spans="1:18">
      <c r="E136" s="1">
        <v>0.18</v>
      </c>
      <c r="F136" s="1">
        <v>5</v>
      </c>
      <c r="G136" s="1">
        <v>10</v>
      </c>
      <c r="I136" s="1">
        <v>3.5</v>
      </c>
      <c r="K136" s="1">
        <v>-9.1</v>
      </c>
      <c r="L136" s="1">
        <v>14</v>
      </c>
      <c r="N136" s="1">
        <v>1.8</v>
      </c>
      <c r="P136" s="1">
        <v>0.56000000000000005</v>
      </c>
      <c r="Q136"/>
    </row>
    <row r="137" spans="1:18">
      <c r="A137" t="s">
        <v>1135</v>
      </c>
      <c r="B137" s="8" t="s">
        <v>1147</v>
      </c>
      <c r="C137" t="s">
        <v>1148</v>
      </c>
      <c r="D137" s="7" t="s">
        <v>1146</v>
      </c>
      <c r="E137" s="1">
        <v>0.12</v>
      </c>
      <c r="F137" s="1">
        <v>8</v>
      </c>
      <c r="G137" s="1">
        <v>34</v>
      </c>
      <c r="I137" s="1">
        <v>4.5</v>
      </c>
      <c r="J137" s="1">
        <v>-16</v>
      </c>
      <c r="L137" s="1">
        <v>15</v>
      </c>
      <c r="M137" s="1">
        <v>1.8</v>
      </c>
      <c r="N137" s="1">
        <v>5.4</v>
      </c>
      <c r="Q137" t="s">
        <v>2237</v>
      </c>
      <c r="R137" s="3" t="s">
        <v>5</v>
      </c>
    </row>
    <row r="138" spans="1:18">
      <c r="A138" t="s">
        <v>1135</v>
      </c>
      <c r="B138" s="8" t="s">
        <v>1150</v>
      </c>
      <c r="C138" t="s">
        <v>1151</v>
      </c>
      <c r="D138" s="7" t="s">
        <v>1149</v>
      </c>
      <c r="E138" s="1">
        <v>0.18</v>
      </c>
      <c r="F138" s="1">
        <v>3.1</v>
      </c>
      <c r="G138" s="1">
        <v>60</v>
      </c>
      <c r="H138" s="1">
        <v>-15</v>
      </c>
      <c r="I138" s="1">
        <v>7.9</v>
      </c>
      <c r="J138" s="1">
        <v>-26.5</v>
      </c>
      <c r="L138" s="1">
        <v>24</v>
      </c>
      <c r="M138" s="1">
        <v>3.3</v>
      </c>
      <c r="N138" s="1">
        <v>25</v>
      </c>
      <c r="P138" s="1">
        <v>1.46</v>
      </c>
      <c r="Q138" t="s">
        <v>2238</v>
      </c>
      <c r="R138" s="3" t="s">
        <v>5</v>
      </c>
    </row>
    <row r="139" spans="1:18">
      <c r="A139" t="s">
        <v>1152</v>
      </c>
      <c r="B139" s="8" t="s">
        <v>1156</v>
      </c>
      <c r="C139" t="s">
        <v>1158</v>
      </c>
      <c r="D139" s="7" t="s">
        <v>1157</v>
      </c>
      <c r="E139" s="1">
        <v>0.12</v>
      </c>
      <c r="F139" s="1">
        <v>16</v>
      </c>
      <c r="G139" s="1">
        <v>92</v>
      </c>
      <c r="H139" s="1">
        <v>-5</v>
      </c>
      <c r="I139" s="1">
        <v>5.0999999999999996</v>
      </c>
      <c r="K139" s="1">
        <v>-5.4</v>
      </c>
      <c r="L139" s="1">
        <v>13</v>
      </c>
      <c r="N139" s="1">
        <v>8.1</v>
      </c>
      <c r="P139" s="1">
        <v>0.58499999999999996</v>
      </c>
      <c r="Q139" t="s">
        <v>2239</v>
      </c>
      <c r="R139" s="3" t="s">
        <v>5</v>
      </c>
    </row>
    <row r="140" spans="1:18">
      <c r="A140" t="s">
        <v>1159</v>
      </c>
      <c r="B140" s="8" t="s">
        <v>1161</v>
      </c>
      <c r="C140" t="s">
        <v>1162</v>
      </c>
      <c r="D140" s="7" t="s">
        <v>1160</v>
      </c>
      <c r="E140" s="1">
        <v>0.35</v>
      </c>
      <c r="F140" s="1">
        <v>0.4</v>
      </c>
      <c r="G140" s="1">
        <v>2.9</v>
      </c>
      <c r="H140" s="1">
        <v>-16</v>
      </c>
      <c r="I140" s="1">
        <v>4.7</v>
      </c>
      <c r="J140" s="1">
        <v>-11</v>
      </c>
      <c r="K140" s="1">
        <v>-3</v>
      </c>
      <c r="L140" s="1">
        <v>10.199999999999999</v>
      </c>
      <c r="N140" s="1">
        <v>2.5</v>
      </c>
      <c r="Q140" t="s">
        <v>2240</v>
      </c>
      <c r="R140" s="3" t="s">
        <v>5</v>
      </c>
    </row>
    <row r="141" spans="1:18">
      <c r="A141" t="s">
        <v>1159</v>
      </c>
      <c r="B141" s="8" t="s">
        <v>1163</v>
      </c>
      <c r="C141" t="s">
        <v>1165</v>
      </c>
      <c r="D141" s="7" t="s">
        <v>1164</v>
      </c>
      <c r="E141" s="1">
        <v>0.13</v>
      </c>
      <c r="F141" s="1">
        <v>6</v>
      </c>
      <c r="G141" s="1">
        <v>12</v>
      </c>
      <c r="H141" s="1">
        <v>-9</v>
      </c>
      <c r="I141" s="1">
        <v>5</v>
      </c>
      <c r="J141" s="1">
        <v>-23</v>
      </c>
      <c r="K141" s="1">
        <v>-14.2</v>
      </c>
      <c r="L141" s="1">
        <v>17.600000000000001</v>
      </c>
      <c r="M141" s="1">
        <v>2.2000000000000002</v>
      </c>
      <c r="N141" s="1">
        <v>37.4</v>
      </c>
      <c r="O141" s="1">
        <v>0.1</v>
      </c>
      <c r="Q141" t="s">
        <v>2241</v>
      </c>
      <c r="R141" s="3" t="s">
        <v>5</v>
      </c>
    </row>
    <row r="142" spans="1:18">
      <c r="A142" t="s">
        <v>1246</v>
      </c>
      <c r="B142" s="8" t="s">
        <v>1245</v>
      </c>
      <c r="C142" t="s">
        <v>1247</v>
      </c>
      <c r="D142" s="7" t="s">
        <v>1244</v>
      </c>
      <c r="E142" s="1">
        <v>0.13</v>
      </c>
      <c r="F142" s="1">
        <v>24</v>
      </c>
      <c r="G142" s="1">
        <v>88</v>
      </c>
      <c r="I142" s="1">
        <v>6</v>
      </c>
      <c r="L142" s="1">
        <v>50</v>
      </c>
      <c r="M142" s="1">
        <v>1.2</v>
      </c>
      <c r="N142" s="1">
        <v>19.2</v>
      </c>
      <c r="P142" s="1">
        <v>0.77280000000000004</v>
      </c>
      <c r="Q142" t="s">
        <v>2242</v>
      </c>
      <c r="R142" s="3" t="s">
        <v>5</v>
      </c>
    </row>
    <row r="143" spans="1:18">
      <c r="A143" t="s">
        <v>1246</v>
      </c>
      <c r="B143" s="8" t="s">
        <v>1252</v>
      </c>
      <c r="C143" t="s">
        <v>1253</v>
      </c>
      <c r="D143" s="7" t="s">
        <v>1251</v>
      </c>
      <c r="E143" s="1">
        <v>0.13</v>
      </c>
      <c r="F143" s="1">
        <v>5.5</v>
      </c>
      <c r="G143" s="1">
        <v>98.5</v>
      </c>
      <c r="H143" s="1">
        <v>-9</v>
      </c>
      <c r="I143" s="1">
        <v>7</v>
      </c>
      <c r="L143" s="1">
        <v>17.2</v>
      </c>
      <c r="M143" s="1">
        <v>1.2</v>
      </c>
      <c r="N143" s="1">
        <v>24</v>
      </c>
      <c r="Q143" t="s">
        <v>2243</v>
      </c>
      <c r="R143" s="3" t="s">
        <v>5</v>
      </c>
    </row>
    <row r="144" spans="1:18">
      <c r="B144" s="8"/>
      <c r="D144" s="7"/>
      <c r="E144" s="1">
        <v>0.13</v>
      </c>
      <c r="F144" s="1">
        <v>12</v>
      </c>
      <c r="G144" s="1">
        <v>94</v>
      </c>
      <c r="H144" s="1">
        <v>-9</v>
      </c>
      <c r="I144" s="1">
        <v>8.17</v>
      </c>
      <c r="L144" s="1">
        <v>15.9</v>
      </c>
      <c r="M144" s="1">
        <v>1.2</v>
      </c>
      <c r="N144" s="1">
        <v>24</v>
      </c>
      <c r="Q144" s="3"/>
    </row>
    <row r="145" spans="1:18">
      <c r="A145" t="s">
        <v>1246</v>
      </c>
      <c r="B145" s="8" t="s">
        <v>1262</v>
      </c>
      <c r="C145" t="s">
        <v>1263</v>
      </c>
      <c r="D145" s="8" t="s">
        <v>1261</v>
      </c>
      <c r="E145" s="1">
        <v>0.13</v>
      </c>
      <c r="F145" s="1">
        <v>15</v>
      </c>
      <c r="G145" s="1">
        <v>107.5</v>
      </c>
      <c r="H145" s="1">
        <v>-10</v>
      </c>
      <c r="I145" s="1">
        <v>4</v>
      </c>
      <c r="J145" s="1">
        <v>-24</v>
      </c>
      <c r="L145" s="1">
        <v>20.5</v>
      </c>
      <c r="M145" s="1">
        <v>1.9</v>
      </c>
      <c r="N145" s="1">
        <v>17</v>
      </c>
      <c r="P145" s="1">
        <v>0.41039999999999999</v>
      </c>
      <c r="Q145" t="s">
        <v>2244</v>
      </c>
      <c r="R145" s="3" t="s">
        <v>5</v>
      </c>
    </row>
    <row r="146" spans="1:18" ht="15" customHeight="1">
      <c r="A146" t="s">
        <v>1272</v>
      </c>
      <c r="B146" s="8" t="s">
        <v>1284</v>
      </c>
      <c r="C146" t="s">
        <v>1285</v>
      </c>
      <c r="D146" s="7" t="s">
        <v>1283</v>
      </c>
      <c r="E146" s="1">
        <v>0.13</v>
      </c>
      <c r="F146" s="1">
        <v>15.5</v>
      </c>
      <c r="G146" s="1">
        <v>66.75</v>
      </c>
      <c r="H146" s="1">
        <v>-10</v>
      </c>
      <c r="I146" s="1">
        <v>4.4000000000000004</v>
      </c>
      <c r="J146" s="1">
        <v>-19</v>
      </c>
      <c r="L146" s="1">
        <v>13.5</v>
      </c>
      <c r="M146" s="1">
        <v>1.3</v>
      </c>
      <c r="N146" s="1">
        <v>4.8099999999999996</v>
      </c>
      <c r="O146" s="1">
        <v>0.05</v>
      </c>
      <c r="P146" s="1">
        <v>0.14000000000000001</v>
      </c>
      <c r="Q146" t="s">
        <v>2245</v>
      </c>
      <c r="R146" s="3" t="s">
        <v>5</v>
      </c>
    </row>
    <row r="147" spans="1:18">
      <c r="A147" t="s">
        <v>1272</v>
      </c>
      <c r="B147" s="8" t="s">
        <v>1293</v>
      </c>
      <c r="C147" t="s">
        <v>1294</v>
      </c>
      <c r="D147" s="7" t="s">
        <v>1292</v>
      </c>
      <c r="E147" s="1">
        <v>0.09</v>
      </c>
      <c r="F147" s="1">
        <v>20</v>
      </c>
      <c r="G147" s="1">
        <v>80</v>
      </c>
      <c r="H147" s="1">
        <v>-15</v>
      </c>
      <c r="I147" s="1">
        <v>3.5</v>
      </c>
      <c r="J147" s="1">
        <v>-23</v>
      </c>
      <c r="L147" s="1">
        <v>35</v>
      </c>
      <c r="M147" s="1">
        <v>1.2</v>
      </c>
      <c r="N147" s="1">
        <v>15.6</v>
      </c>
      <c r="O147" s="1">
        <v>0.3</v>
      </c>
      <c r="Q147" t="s">
        <v>2246</v>
      </c>
      <c r="R147" s="3" t="s">
        <v>5</v>
      </c>
    </row>
    <row r="148" spans="1:18">
      <c r="A148" t="s">
        <v>1272</v>
      </c>
      <c r="B148" s="8" t="s">
        <v>1296</v>
      </c>
      <c r="C148" t="s">
        <v>1297</v>
      </c>
      <c r="D148" s="7" t="s">
        <v>1295</v>
      </c>
      <c r="E148" s="1">
        <v>0.25</v>
      </c>
      <c r="F148" s="1">
        <v>8.6999999999999993</v>
      </c>
      <c r="G148" s="1">
        <v>19.350000000000001</v>
      </c>
      <c r="H148" s="1">
        <v>-5</v>
      </c>
      <c r="I148" s="1">
        <v>1.9</v>
      </c>
      <c r="J148" s="1">
        <v>-11.7</v>
      </c>
      <c r="K148" s="1">
        <v>-0.5</v>
      </c>
      <c r="L148" s="1">
        <v>25.7</v>
      </c>
      <c r="M148" s="1">
        <v>2.5</v>
      </c>
      <c r="N148" s="1">
        <v>92.5</v>
      </c>
      <c r="P148" s="1">
        <v>0.51</v>
      </c>
      <c r="Q148" t="s">
        <v>2247</v>
      </c>
      <c r="R148" s="3" t="s">
        <v>1100</v>
      </c>
    </row>
    <row r="149" spans="1:18">
      <c r="E149" s="1">
        <v>0.25</v>
      </c>
      <c r="F149" s="1">
        <v>6</v>
      </c>
      <c r="G149" s="1">
        <v>19</v>
      </c>
      <c r="H149" s="1">
        <v>-12.5</v>
      </c>
      <c r="I149" s="1">
        <v>1.8</v>
      </c>
      <c r="J149" s="1">
        <v>-14.5</v>
      </c>
      <c r="K149" s="1">
        <v>-2.5</v>
      </c>
      <c r="L149" s="1">
        <v>28</v>
      </c>
      <c r="M149" s="1">
        <v>2.5</v>
      </c>
      <c r="N149" s="1">
        <v>87.5</v>
      </c>
      <c r="P149" s="1">
        <v>0.51</v>
      </c>
      <c r="Q149"/>
    </row>
    <row r="150" spans="1:18">
      <c r="A150" t="s">
        <v>1304</v>
      </c>
      <c r="B150" s="8" t="s">
        <v>1303</v>
      </c>
      <c r="C150" t="s">
        <v>1305</v>
      </c>
      <c r="D150" s="7" t="s">
        <v>1302</v>
      </c>
      <c r="E150" s="1">
        <v>0.13</v>
      </c>
      <c r="F150" s="1">
        <v>2.2000000000000002</v>
      </c>
      <c r="G150" s="1">
        <v>10.1</v>
      </c>
      <c r="H150" s="1">
        <v>-10</v>
      </c>
      <c r="I150" s="1">
        <v>1.9</v>
      </c>
      <c r="J150" s="1">
        <v>12.9</v>
      </c>
      <c r="L150" s="1">
        <v>15</v>
      </c>
      <c r="M150" s="1">
        <v>2.4</v>
      </c>
      <c r="N150" s="1">
        <v>21.6</v>
      </c>
      <c r="O150" s="1">
        <v>0.5</v>
      </c>
      <c r="Q150" t="s">
        <v>2248</v>
      </c>
      <c r="R150" s="3" t="s">
        <v>5</v>
      </c>
    </row>
    <row r="151" spans="1:18">
      <c r="A151" t="s">
        <v>1315</v>
      </c>
      <c r="B151" s="8" t="s">
        <v>1320</v>
      </c>
      <c r="C151" t="s">
        <v>1321</v>
      </c>
      <c r="D151" s="7" t="s">
        <v>1319</v>
      </c>
      <c r="E151" s="1">
        <v>0.25</v>
      </c>
      <c r="G151" s="1">
        <v>1.2</v>
      </c>
      <c r="H151" s="1">
        <v>-25</v>
      </c>
      <c r="I151" s="1">
        <v>1.1000000000000001</v>
      </c>
      <c r="J151" s="1">
        <v>-20</v>
      </c>
      <c r="L151" s="1">
        <v>14</v>
      </c>
      <c r="N151" s="1">
        <v>18</v>
      </c>
      <c r="P151" s="1">
        <v>0.98</v>
      </c>
      <c r="Q151" t="s">
        <v>2249</v>
      </c>
      <c r="R151" s="3" t="s">
        <v>440</v>
      </c>
    </row>
    <row r="152" spans="1:18">
      <c r="E152" s="1">
        <v>0.25</v>
      </c>
      <c r="G152" s="1">
        <v>1.6</v>
      </c>
      <c r="H152" s="1">
        <v>-10</v>
      </c>
      <c r="I152" s="1">
        <v>2</v>
      </c>
      <c r="J152" s="1">
        <v>-20</v>
      </c>
      <c r="L152" s="1">
        <v>14</v>
      </c>
      <c r="N152" s="1">
        <v>18</v>
      </c>
      <c r="Q152"/>
    </row>
    <row r="153" spans="1:18">
      <c r="A153" t="s">
        <v>1315</v>
      </c>
      <c r="B153" s="8" t="s">
        <v>1323</v>
      </c>
      <c r="C153" t="s">
        <v>1324</v>
      </c>
      <c r="D153" s="7" t="s">
        <v>1322</v>
      </c>
      <c r="E153" s="1">
        <v>0.13</v>
      </c>
      <c r="F153" s="1">
        <v>14</v>
      </c>
      <c r="G153" s="1">
        <v>59</v>
      </c>
      <c r="H153" s="1">
        <v>-6</v>
      </c>
      <c r="I153" s="1">
        <v>3.3</v>
      </c>
      <c r="J153" s="1">
        <v>-13.5</v>
      </c>
      <c r="L153" s="1">
        <v>15.4</v>
      </c>
      <c r="M153" s="1">
        <v>1.5</v>
      </c>
      <c r="N153" s="1">
        <v>19.600000000000001</v>
      </c>
      <c r="P153" s="1">
        <v>0.11</v>
      </c>
      <c r="Q153" t="s">
        <v>2250</v>
      </c>
      <c r="R153" s="3" t="s">
        <v>5</v>
      </c>
    </row>
    <row r="154" spans="1:18">
      <c r="A154" t="s">
        <v>1315</v>
      </c>
      <c r="B154" s="8" t="s">
        <v>1329</v>
      </c>
      <c r="C154" t="s">
        <v>1330</v>
      </c>
      <c r="D154" s="7" t="s">
        <v>1328</v>
      </c>
      <c r="E154" s="1">
        <v>5.5E-2</v>
      </c>
      <c r="F154" s="1">
        <v>19</v>
      </c>
      <c r="G154" s="1">
        <v>75.5</v>
      </c>
      <c r="H154" s="1">
        <v>-10</v>
      </c>
      <c r="I154" s="1">
        <v>9</v>
      </c>
      <c r="L154" s="1">
        <v>28</v>
      </c>
      <c r="M154" s="1">
        <v>2.5</v>
      </c>
      <c r="N154" s="1">
        <v>15</v>
      </c>
      <c r="Q154" t="s">
        <v>2251</v>
      </c>
      <c r="R154" s="3" t="s">
        <v>5</v>
      </c>
    </row>
    <row r="155" spans="1:18">
      <c r="A155" t="s">
        <v>1315</v>
      </c>
      <c r="B155" s="8" t="s">
        <v>1342</v>
      </c>
      <c r="C155" t="s">
        <v>1344</v>
      </c>
      <c r="D155" s="7" t="s">
        <v>1343</v>
      </c>
      <c r="E155" s="1">
        <v>0.09</v>
      </c>
      <c r="F155" s="1">
        <v>20</v>
      </c>
      <c r="G155" s="1">
        <v>140</v>
      </c>
      <c r="H155" s="1">
        <v>-10</v>
      </c>
      <c r="I155" s="1">
        <v>6.2</v>
      </c>
      <c r="L155" s="1">
        <v>30</v>
      </c>
      <c r="M155" s="1">
        <v>3</v>
      </c>
      <c r="N155" s="1">
        <v>40</v>
      </c>
      <c r="P155" s="1">
        <v>0.11550000000000001</v>
      </c>
      <c r="Q155" t="s">
        <v>2252</v>
      </c>
      <c r="R155" s="3" t="s">
        <v>5</v>
      </c>
    </row>
    <row r="156" spans="1:18">
      <c r="A156" t="s">
        <v>3029</v>
      </c>
      <c r="B156" s="8" t="s">
        <v>3057</v>
      </c>
      <c r="C156" t="s">
        <v>3058</v>
      </c>
      <c r="D156" s="7" t="s">
        <v>3059</v>
      </c>
      <c r="E156" s="1">
        <v>0.12</v>
      </c>
      <c r="F156" s="1">
        <v>35</v>
      </c>
      <c r="G156" s="1">
        <v>92.5</v>
      </c>
      <c r="H156" s="1">
        <v>-8</v>
      </c>
      <c r="I156" s="1">
        <v>5.3</v>
      </c>
      <c r="L156" s="1">
        <v>35.5</v>
      </c>
      <c r="M156" s="1">
        <v>2</v>
      </c>
      <c r="N156" s="1">
        <v>22.4</v>
      </c>
      <c r="Q156" s="103" t="s">
        <v>3060</v>
      </c>
      <c r="R156" s="3"/>
    </row>
    <row r="157" spans="1:18">
      <c r="A157" t="s">
        <v>3867</v>
      </c>
      <c r="B157" s="8" t="s">
        <v>3897</v>
      </c>
      <c r="C157" t="s">
        <v>3898</v>
      </c>
      <c r="D157" s="7" t="s">
        <v>3899</v>
      </c>
      <c r="E157" s="1">
        <v>0.13</v>
      </c>
      <c r="F157" s="1">
        <v>0.1</v>
      </c>
      <c r="G157" s="1">
        <v>0.46</v>
      </c>
      <c r="H157" s="1">
        <v>-7</v>
      </c>
      <c r="I157" s="1">
        <v>0.34</v>
      </c>
      <c r="J157" s="1">
        <v>-23</v>
      </c>
      <c r="L157" s="1">
        <v>28.5</v>
      </c>
      <c r="N157" s="1">
        <v>20</v>
      </c>
      <c r="Q157" s="103" t="s">
        <v>3900</v>
      </c>
      <c r="R157" s="3"/>
    </row>
    <row r="158" spans="1:18">
      <c r="A158" s="46" t="s">
        <v>1365</v>
      </c>
      <c r="B158" s="46"/>
      <c r="C158" s="46"/>
      <c r="D158" s="46"/>
      <c r="E158" s="93"/>
      <c r="F158" s="93"/>
      <c r="G158" s="93"/>
      <c r="H158" s="93"/>
      <c r="I158" s="93"/>
      <c r="J158" s="93"/>
      <c r="K158" s="93"/>
      <c r="L158" s="93"/>
      <c r="M158" s="93"/>
      <c r="N158" s="93"/>
      <c r="O158" s="93"/>
      <c r="P158" s="93"/>
      <c r="Q158" s="46"/>
    </row>
    <row r="159" spans="1:18">
      <c r="A159" t="s">
        <v>1389</v>
      </c>
      <c r="B159" s="8" t="s">
        <v>1388</v>
      </c>
      <c r="C159" t="s">
        <v>1390</v>
      </c>
      <c r="D159" s="7" t="s">
        <v>1387</v>
      </c>
      <c r="E159" s="1">
        <v>0.25</v>
      </c>
      <c r="F159" s="1">
        <v>2.8</v>
      </c>
      <c r="G159" s="1">
        <v>5.5</v>
      </c>
      <c r="H159" s="1">
        <v>-10</v>
      </c>
      <c r="I159" s="1">
        <v>4.5</v>
      </c>
      <c r="J159" s="1">
        <v>-10</v>
      </c>
      <c r="L159" s="1">
        <v>10</v>
      </c>
      <c r="M159" s="1">
        <v>1</v>
      </c>
      <c r="N159" s="1">
        <v>3.5</v>
      </c>
      <c r="O159" s="1">
        <v>0.72</v>
      </c>
      <c r="P159" s="1">
        <v>1.4</v>
      </c>
      <c r="Q159" t="s">
        <v>2253</v>
      </c>
      <c r="R159" s="3" t="s">
        <v>5</v>
      </c>
    </row>
    <row r="160" spans="1:18">
      <c r="A160" t="s">
        <v>2416</v>
      </c>
      <c r="B160" s="8" t="s">
        <v>1402</v>
      </c>
      <c r="C160" t="s">
        <v>1403</v>
      </c>
      <c r="D160" s="7" t="s">
        <v>1401</v>
      </c>
      <c r="E160" s="6" t="s">
        <v>373</v>
      </c>
      <c r="F160" s="1">
        <v>2.6</v>
      </c>
      <c r="G160" s="1">
        <v>2.75</v>
      </c>
      <c r="H160" s="1">
        <v>-10</v>
      </c>
      <c r="I160" s="1">
        <v>1.1599999999999999</v>
      </c>
      <c r="J160" s="1">
        <v>-4</v>
      </c>
      <c r="L160" s="1">
        <v>18</v>
      </c>
      <c r="P160" s="1">
        <v>411.25</v>
      </c>
      <c r="Q160" s="103" t="s">
        <v>2254</v>
      </c>
      <c r="R160" s="3" t="s">
        <v>5</v>
      </c>
    </row>
    <row r="161" spans="1:18">
      <c r="A161" t="s">
        <v>1425</v>
      </c>
      <c r="B161" s="8" t="s">
        <v>2062</v>
      </c>
      <c r="C161" t="s">
        <v>2063</v>
      </c>
      <c r="D161" s="7" t="s">
        <v>2064</v>
      </c>
      <c r="E161" s="1">
        <v>0.35</v>
      </c>
      <c r="F161" s="1">
        <v>10.5</v>
      </c>
      <c r="G161" s="1">
        <v>6.85</v>
      </c>
      <c r="H161" s="1">
        <v>-11</v>
      </c>
      <c r="I161" s="1">
        <v>6</v>
      </c>
      <c r="J161" s="1">
        <v>-22</v>
      </c>
      <c r="K161" s="1">
        <v>-10</v>
      </c>
      <c r="L161" s="1">
        <v>12</v>
      </c>
      <c r="M161" s="1">
        <v>0.8</v>
      </c>
      <c r="N161" s="1">
        <v>6.4</v>
      </c>
      <c r="P161" s="1">
        <v>1.43</v>
      </c>
      <c r="Q161" t="s">
        <v>2255</v>
      </c>
      <c r="R161" s="3" t="s">
        <v>5</v>
      </c>
    </row>
    <row r="162" spans="1:18">
      <c r="A162" t="s">
        <v>1436</v>
      </c>
      <c r="B162" s="8" t="s">
        <v>1434</v>
      </c>
      <c r="C162" t="s">
        <v>1435</v>
      </c>
      <c r="D162" s="7" t="s">
        <v>1433</v>
      </c>
      <c r="E162" s="1">
        <v>0.18</v>
      </c>
      <c r="F162" s="1">
        <v>9.5</v>
      </c>
      <c r="G162" s="1">
        <v>5.25</v>
      </c>
      <c r="H162" s="1">
        <v>-7</v>
      </c>
      <c r="I162" s="1">
        <v>2.9</v>
      </c>
      <c r="J162" s="1">
        <v>-17</v>
      </c>
      <c r="K162" s="1">
        <v>-7.5</v>
      </c>
      <c r="L162" s="1">
        <v>13</v>
      </c>
      <c r="M162" s="1">
        <v>2.4</v>
      </c>
      <c r="N162" s="1">
        <v>9.6</v>
      </c>
      <c r="P162" s="1">
        <v>0.88</v>
      </c>
      <c r="Q162" t="s">
        <v>2256</v>
      </c>
      <c r="R162" s="3" t="s">
        <v>5</v>
      </c>
    </row>
    <row r="163" spans="1:18">
      <c r="A163" t="s">
        <v>1436</v>
      </c>
      <c r="B163" s="8" t="s">
        <v>1438</v>
      </c>
      <c r="C163" t="s">
        <v>1439</v>
      </c>
      <c r="D163" s="7" t="s">
        <v>1437</v>
      </c>
      <c r="E163" s="6">
        <v>0.12</v>
      </c>
      <c r="F163" s="1">
        <v>2.2000000000000002</v>
      </c>
      <c r="G163" s="1">
        <v>10.5</v>
      </c>
      <c r="H163" s="1">
        <v>-10</v>
      </c>
      <c r="I163" s="1">
        <v>2.48</v>
      </c>
      <c r="K163" s="1">
        <v>-9.1</v>
      </c>
      <c r="L163" s="1">
        <v>11</v>
      </c>
      <c r="M163" s="1">
        <v>2.5</v>
      </c>
      <c r="N163" s="1">
        <v>2.5</v>
      </c>
      <c r="P163" s="1">
        <v>0.51</v>
      </c>
      <c r="Q163" t="s">
        <v>2257</v>
      </c>
      <c r="R163" s="3" t="s">
        <v>5</v>
      </c>
    </row>
    <row r="164" spans="1:18">
      <c r="A164" t="s">
        <v>1474</v>
      </c>
      <c r="B164" s="8" t="s">
        <v>1476</v>
      </c>
      <c r="C164" t="s">
        <v>593</v>
      </c>
      <c r="D164" s="7" t="s">
        <v>1475</v>
      </c>
      <c r="E164" s="1">
        <v>0.12</v>
      </c>
      <c r="F164" s="1">
        <v>6.5</v>
      </c>
      <c r="G164" s="1">
        <v>33.25</v>
      </c>
      <c r="H164" s="1">
        <v>-18</v>
      </c>
      <c r="I164" s="1">
        <v>2.6</v>
      </c>
      <c r="J164" s="1">
        <v>-28</v>
      </c>
      <c r="K164" s="1">
        <v>-19.5</v>
      </c>
      <c r="L164" s="1">
        <v>23.5</v>
      </c>
      <c r="M164" s="1">
        <v>1.8</v>
      </c>
      <c r="N164" s="1">
        <v>10.8</v>
      </c>
      <c r="O164" s="1">
        <v>0.1</v>
      </c>
      <c r="P164" s="1">
        <v>0.33</v>
      </c>
      <c r="Q164" t="s">
        <v>2258</v>
      </c>
      <c r="R164" s="3" t="s">
        <v>5</v>
      </c>
    </row>
    <row r="165" spans="1:18">
      <c r="A165" t="s">
        <v>1491</v>
      </c>
      <c r="B165" s="8" t="s">
        <v>1490</v>
      </c>
      <c r="C165" t="s">
        <v>593</v>
      </c>
      <c r="D165" s="7" t="s">
        <v>1489</v>
      </c>
      <c r="E165" s="1">
        <v>0.12</v>
      </c>
      <c r="F165" s="1">
        <v>8</v>
      </c>
      <c r="G165" s="1">
        <v>33</v>
      </c>
      <c r="H165" s="1">
        <v>-11</v>
      </c>
      <c r="I165" s="1">
        <v>3.4</v>
      </c>
      <c r="J165" s="1">
        <v>-27</v>
      </c>
      <c r="L165" s="1">
        <v>20</v>
      </c>
      <c r="M165" s="1">
        <v>2.5</v>
      </c>
      <c r="N165" s="1">
        <v>33</v>
      </c>
      <c r="O165" s="1">
        <v>0.13</v>
      </c>
      <c r="Q165" t="s">
        <v>2259</v>
      </c>
      <c r="R165" s="3" t="s">
        <v>5</v>
      </c>
    </row>
    <row r="166" spans="1:18">
      <c r="A166" t="s">
        <v>1542</v>
      </c>
      <c r="B166" s="8" t="s">
        <v>1541</v>
      </c>
      <c r="C166" t="s">
        <v>1543</v>
      </c>
      <c r="D166" s="7" t="s">
        <v>1540</v>
      </c>
      <c r="E166" s="1">
        <v>0.18</v>
      </c>
      <c r="F166" s="1">
        <v>14.5</v>
      </c>
      <c r="G166" s="1">
        <v>76.25</v>
      </c>
      <c r="H166" s="1">
        <v>-9</v>
      </c>
      <c r="I166" s="1">
        <v>6.9</v>
      </c>
      <c r="J166" s="1">
        <v>-11.4</v>
      </c>
      <c r="L166" s="1">
        <v>14.5</v>
      </c>
      <c r="M166" s="1">
        <v>3.3</v>
      </c>
      <c r="N166" s="1">
        <v>37</v>
      </c>
      <c r="P166" s="1">
        <v>0.41</v>
      </c>
      <c r="Q166" t="s">
        <v>2260</v>
      </c>
      <c r="R166" s="3" t="s">
        <v>5</v>
      </c>
    </row>
    <row r="167" spans="1:18">
      <c r="A167" t="s">
        <v>1559</v>
      </c>
      <c r="B167" s="8" t="s">
        <v>1557</v>
      </c>
      <c r="C167" t="s">
        <v>1558</v>
      </c>
      <c r="D167" s="7" t="s">
        <v>1556</v>
      </c>
      <c r="E167" s="1">
        <v>0.13</v>
      </c>
      <c r="G167" s="1">
        <v>7.27</v>
      </c>
      <c r="H167" s="1">
        <v>-17.5</v>
      </c>
      <c r="I167" s="1">
        <v>5.0999999999999996</v>
      </c>
      <c r="J167" s="1">
        <v>-25</v>
      </c>
      <c r="K167" s="1">
        <v>-13</v>
      </c>
      <c r="L167" s="1">
        <v>22.5</v>
      </c>
      <c r="M167" s="1">
        <v>1.7</v>
      </c>
      <c r="N167" s="1">
        <v>21</v>
      </c>
      <c r="O167" s="1">
        <v>0.3</v>
      </c>
      <c r="P167" s="1">
        <v>1</v>
      </c>
      <c r="Q167" t="s">
        <v>2261</v>
      </c>
      <c r="R167" s="3" t="s">
        <v>5</v>
      </c>
    </row>
    <row r="168" spans="1:18">
      <c r="A168" t="s">
        <v>1633</v>
      </c>
      <c r="B168" s="8" t="s">
        <v>1631</v>
      </c>
      <c r="C168" t="s">
        <v>1632</v>
      </c>
      <c r="D168" s="7" t="s">
        <v>1630</v>
      </c>
      <c r="E168" s="1">
        <v>0.25</v>
      </c>
      <c r="F168" s="1">
        <v>9</v>
      </c>
      <c r="G168" s="1">
        <v>55.5</v>
      </c>
      <c r="H168" s="1">
        <v>-6</v>
      </c>
      <c r="I168" s="1">
        <v>6.8</v>
      </c>
      <c r="L168" s="1">
        <v>21</v>
      </c>
      <c r="M168" s="1">
        <v>2.5</v>
      </c>
      <c r="N168" s="1">
        <v>40</v>
      </c>
      <c r="P168" s="1">
        <v>0.78749999999999998</v>
      </c>
      <c r="Q168" t="s">
        <v>2262</v>
      </c>
      <c r="R168" s="3" t="s">
        <v>440</v>
      </c>
    </row>
    <row r="169" spans="1:18">
      <c r="E169" s="1">
        <v>0.25</v>
      </c>
      <c r="F169" s="1">
        <v>12</v>
      </c>
      <c r="G169" s="1">
        <v>72</v>
      </c>
      <c r="H169" s="1">
        <v>-6</v>
      </c>
      <c r="I169" s="1">
        <v>7.6</v>
      </c>
      <c r="L169" s="1">
        <v>23</v>
      </c>
      <c r="M169" s="1">
        <v>2.5</v>
      </c>
      <c r="N169" s="1">
        <v>40</v>
      </c>
      <c r="Q169"/>
    </row>
    <row r="170" spans="1:18">
      <c r="A170" t="s">
        <v>1640</v>
      </c>
      <c r="B170" s="8" t="s">
        <v>1638</v>
      </c>
      <c r="C170" t="s">
        <v>1639</v>
      </c>
      <c r="D170" s="7" t="s">
        <v>1637</v>
      </c>
      <c r="E170" s="1">
        <v>0.13</v>
      </c>
      <c r="F170" s="1">
        <v>6</v>
      </c>
      <c r="G170" s="1">
        <v>244</v>
      </c>
      <c r="H170" s="1">
        <v>-8</v>
      </c>
      <c r="I170" s="1">
        <v>10</v>
      </c>
      <c r="L170" s="1">
        <v>18.399999999999999</v>
      </c>
      <c r="M170" s="1">
        <v>3.7</v>
      </c>
      <c r="N170" s="1">
        <v>303.77</v>
      </c>
      <c r="P170" s="1">
        <v>0.15479999999999999</v>
      </c>
      <c r="Q170" t="s">
        <v>2263</v>
      </c>
      <c r="R170" s="3" t="s">
        <v>5</v>
      </c>
    </row>
    <row r="171" spans="1:18">
      <c r="A171" t="s">
        <v>1647</v>
      </c>
      <c r="B171" s="8" t="s">
        <v>1645</v>
      </c>
      <c r="C171" t="s">
        <v>1646</v>
      </c>
      <c r="D171" s="7" t="s">
        <v>1644</v>
      </c>
      <c r="E171" s="1">
        <v>0.13</v>
      </c>
      <c r="F171" s="1">
        <v>24</v>
      </c>
      <c r="G171" s="1">
        <v>89</v>
      </c>
      <c r="H171" s="1">
        <v>-4</v>
      </c>
      <c r="I171" s="1">
        <v>6</v>
      </c>
      <c r="L171" s="1">
        <v>45</v>
      </c>
      <c r="M171" s="1">
        <v>1.2</v>
      </c>
      <c r="N171" s="1">
        <v>19.2</v>
      </c>
      <c r="P171" s="1">
        <v>0.77</v>
      </c>
      <c r="Q171" t="s">
        <v>2264</v>
      </c>
      <c r="R171" s="3" t="s">
        <v>5</v>
      </c>
    </row>
    <row r="172" spans="1:18">
      <c r="A172" t="s">
        <v>1682</v>
      </c>
      <c r="B172" s="8" t="s">
        <v>1684</v>
      </c>
      <c r="C172" t="s">
        <v>1685</v>
      </c>
      <c r="D172" s="7" t="s">
        <v>1683</v>
      </c>
      <c r="E172" s="1">
        <v>0.13</v>
      </c>
      <c r="F172" s="1">
        <v>12</v>
      </c>
      <c r="G172" s="1">
        <v>16</v>
      </c>
      <c r="H172" s="1">
        <v>-7.5</v>
      </c>
      <c r="I172" s="1">
        <v>3.2</v>
      </c>
      <c r="J172" s="1">
        <v>-36.5</v>
      </c>
      <c r="K172" s="1">
        <v>-33</v>
      </c>
      <c r="L172" s="1">
        <v>15.5</v>
      </c>
      <c r="M172" s="1">
        <v>1</v>
      </c>
      <c r="N172" s="1">
        <v>4</v>
      </c>
      <c r="O172" s="1">
        <v>0.1</v>
      </c>
      <c r="P172" s="1">
        <v>0.68</v>
      </c>
      <c r="Q172" t="s">
        <v>2265</v>
      </c>
      <c r="R172" s="3" t="s">
        <v>5</v>
      </c>
    </row>
    <row r="173" spans="1:18">
      <c r="A173" t="s">
        <v>1689</v>
      </c>
      <c r="B173" s="8" t="s">
        <v>1691</v>
      </c>
      <c r="C173" t="s">
        <v>1692</v>
      </c>
      <c r="D173" s="7" t="s">
        <v>1690</v>
      </c>
      <c r="E173" s="1">
        <v>0.13</v>
      </c>
      <c r="F173" s="1">
        <v>30</v>
      </c>
      <c r="G173" s="1">
        <v>120</v>
      </c>
      <c r="H173" s="1">
        <v>-10</v>
      </c>
      <c r="I173" s="1">
        <v>5.5</v>
      </c>
      <c r="L173" s="1">
        <v>27.5</v>
      </c>
      <c r="M173" s="1">
        <v>2</v>
      </c>
      <c r="N173" s="1">
        <v>12</v>
      </c>
      <c r="P173" s="1">
        <v>0.39</v>
      </c>
      <c r="Q173" t="s">
        <v>2266</v>
      </c>
      <c r="R173" s="3" t="s">
        <v>5</v>
      </c>
    </row>
    <row r="174" spans="1:18">
      <c r="A174" t="s">
        <v>1715</v>
      </c>
      <c r="B174" s="8" t="s">
        <v>1713</v>
      </c>
      <c r="C174" t="s">
        <v>1714</v>
      </c>
      <c r="D174" s="7" t="s">
        <v>1712</v>
      </c>
      <c r="E174" s="1">
        <v>0.18</v>
      </c>
      <c r="F174" s="1">
        <v>18</v>
      </c>
      <c r="G174" s="1">
        <v>56</v>
      </c>
      <c r="H174" s="1">
        <v>-10</v>
      </c>
      <c r="I174" s="1">
        <v>5.6</v>
      </c>
      <c r="J174" s="1">
        <v>-38</v>
      </c>
      <c r="L174" s="1">
        <v>32.5</v>
      </c>
      <c r="M174" s="1">
        <v>1.8</v>
      </c>
      <c r="N174" s="1">
        <v>11.7</v>
      </c>
      <c r="O174" s="1">
        <v>0.39</v>
      </c>
      <c r="P174" s="1">
        <v>0.88</v>
      </c>
      <c r="Q174" t="s">
        <v>2267</v>
      </c>
      <c r="R174" s="3" t="s">
        <v>5</v>
      </c>
    </row>
    <row r="175" spans="1:18">
      <c r="A175" t="s">
        <v>1744</v>
      </c>
      <c r="B175" s="8" t="s">
        <v>1742</v>
      </c>
      <c r="C175" t="s">
        <v>1743</v>
      </c>
      <c r="D175" s="7" t="s">
        <v>1741</v>
      </c>
      <c r="E175" s="1">
        <v>0.13</v>
      </c>
      <c r="F175" s="1">
        <v>8.5</v>
      </c>
      <c r="G175" s="1">
        <v>4.55</v>
      </c>
      <c r="H175" s="1">
        <v>-10</v>
      </c>
      <c r="I175" s="1">
        <v>1.8</v>
      </c>
      <c r="K175" s="1">
        <v>-27.3</v>
      </c>
      <c r="L175" s="1">
        <v>37.299999999999997</v>
      </c>
      <c r="N175" s="1">
        <v>52</v>
      </c>
      <c r="P175" s="1">
        <v>0.46</v>
      </c>
      <c r="Q175" t="s">
        <v>2268</v>
      </c>
      <c r="R175" s="3" t="s">
        <v>5</v>
      </c>
    </row>
    <row r="176" spans="1:18">
      <c r="A176" t="s">
        <v>1758</v>
      </c>
      <c r="B176" s="8" t="s">
        <v>1760</v>
      </c>
      <c r="C176" t="s">
        <v>1761</v>
      </c>
      <c r="D176" s="7" t="s">
        <v>1759</v>
      </c>
      <c r="E176" s="1">
        <v>0.18</v>
      </c>
      <c r="F176" s="1">
        <v>12.6</v>
      </c>
      <c r="G176" s="1">
        <v>60.3</v>
      </c>
      <c r="I176" s="1">
        <v>5.0999999999999996</v>
      </c>
      <c r="J176" s="1">
        <v>-20.5</v>
      </c>
      <c r="L176" s="1">
        <v>21.9</v>
      </c>
      <c r="M176" s="1">
        <v>1.8</v>
      </c>
      <c r="N176" s="1">
        <v>19.079999999999998</v>
      </c>
      <c r="O176" s="1">
        <v>0.85</v>
      </c>
      <c r="Q176" t="s">
        <v>2269</v>
      </c>
      <c r="R176" s="3" t="s">
        <v>1762</v>
      </c>
    </row>
    <row r="177" spans="1:18">
      <c r="A177" t="s">
        <v>1766</v>
      </c>
      <c r="B177" s="8" t="s">
        <v>1764</v>
      </c>
      <c r="C177" t="s">
        <v>1765</v>
      </c>
      <c r="D177" s="7" t="s">
        <v>1763</v>
      </c>
      <c r="E177" s="1">
        <v>0.13</v>
      </c>
      <c r="F177" s="1">
        <v>52</v>
      </c>
      <c r="G177" s="1">
        <v>136</v>
      </c>
      <c r="H177" s="1">
        <v>-8</v>
      </c>
      <c r="I177" s="1">
        <v>4.8</v>
      </c>
      <c r="J177" s="1">
        <v>-37.6</v>
      </c>
      <c r="L177" s="1">
        <v>32.6</v>
      </c>
      <c r="M177" s="1">
        <v>2.0499999999999998</v>
      </c>
      <c r="N177" s="1">
        <v>28</v>
      </c>
      <c r="O177" s="1">
        <v>0.6</v>
      </c>
      <c r="P177" s="1">
        <v>1</v>
      </c>
      <c r="Q177" t="s">
        <v>2270</v>
      </c>
      <c r="R177" s="3" t="s">
        <v>5</v>
      </c>
    </row>
    <row r="178" spans="1:18">
      <c r="A178" t="s">
        <v>1788</v>
      </c>
      <c r="B178" s="8" t="s">
        <v>1786</v>
      </c>
      <c r="C178" t="s">
        <v>1787</v>
      </c>
      <c r="D178" s="7" t="s">
        <v>1785</v>
      </c>
      <c r="E178" s="1">
        <v>0.13</v>
      </c>
      <c r="F178" s="1">
        <v>10</v>
      </c>
      <c r="G178" s="1">
        <v>126</v>
      </c>
      <c r="H178" s="1">
        <v>-7</v>
      </c>
      <c r="I178" s="1">
        <v>7</v>
      </c>
      <c r="J178" s="1">
        <v>-17.3</v>
      </c>
      <c r="L178" s="1">
        <v>18.2</v>
      </c>
      <c r="N178" s="1">
        <v>36.799999999999997</v>
      </c>
      <c r="O178" s="1">
        <v>0.107</v>
      </c>
      <c r="P178" s="1">
        <v>0.25700000000000001</v>
      </c>
      <c r="Q178" t="s">
        <v>2271</v>
      </c>
      <c r="R178" s="3" t="s">
        <v>1789</v>
      </c>
    </row>
    <row r="179" spans="1:18">
      <c r="A179" s="82"/>
      <c r="B179" s="8"/>
      <c r="E179" s="1">
        <v>0.13</v>
      </c>
      <c r="F179" s="1">
        <v>12</v>
      </c>
      <c r="G179" s="1">
        <v>142</v>
      </c>
      <c r="H179" s="1">
        <v>-10</v>
      </c>
      <c r="I179" s="1">
        <v>7.9</v>
      </c>
      <c r="J179" s="1">
        <v>-15.9</v>
      </c>
      <c r="L179" s="1">
        <v>16.100000000000001</v>
      </c>
      <c r="N179" s="1">
        <v>36.799999999999997</v>
      </c>
      <c r="Q179"/>
    </row>
    <row r="180" spans="1:18" ht="17.25">
      <c r="A180" s="82">
        <v>43739</v>
      </c>
      <c r="B180" s="8" t="s">
        <v>2568</v>
      </c>
      <c r="C180" t="s">
        <v>2569</v>
      </c>
      <c r="D180" t="s">
        <v>2570</v>
      </c>
      <c r="E180" s="1">
        <v>0.13</v>
      </c>
      <c r="G180" s="1">
        <v>28</v>
      </c>
      <c r="I180" s="1">
        <v>2.8</v>
      </c>
      <c r="J180" s="1">
        <v>-12</v>
      </c>
      <c r="L180" s="1">
        <v>16.2</v>
      </c>
      <c r="N180" s="1">
        <v>8.1999999999999993</v>
      </c>
      <c r="O180" s="1">
        <v>0.1</v>
      </c>
      <c r="P180" s="1">
        <f>0.48*0.48</f>
        <v>0.23039999999999999</v>
      </c>
      <c r="Q180" s="102" t="s">
        <v>2571</v>
      </c>
    </row>
    <row r="181" spans="1:18">
      <c r="E181" s="1">
        <v>0.13</v>
      </c>
      <c r="G181" s="1">
        <v>60</v>
      </c>
      <c r="I181" s="1">
        <v>3.35</v>
      </c>
      <c r="J181" s="1">
        <v>-7</v>
      </c>
      <c r="L181" s="1">
        <v>15</v>
      </c>
      <c r="N181" s="1">
        <v>21</v>
      </c>
      <c r="O181" s="1">
        <v>0.1</v>
      </c>
      <c r="P181" s="1">
        <f>0.48*0.48</f>
        <v>0.23039999999999999</v>
      </c>
      <c r="Q181"/>
    </row>
    <row r="182" spans="1:18" ht="17.25">
      <c r="A182" s="3" t="s">
        <v>2792</v>
      </c>
      <c r="B182" s="8" t="s">
        <v>2793</v>
      </c>
      <c r="C182" t="s">
        <v>2794</v>
      </c>
      <c r="D182" t="s">
        <v>2795</v>
      </c>
      <c r="E182" s="1">
        <v>0.13</v>
      </c>
      <c r="F182" s="1">
        <v>9</v>
      </c>
      <c r="G182" s="1">
        <v>61.5</v>
      </c>
      <c r="H182" s="1">
        <v>-10</v>
      </c>
      <c r="J182" s="1">
        <v>-20</v>
      </c>
      <c r="L182" s="1">
        <v>17</v>
      </c>
      <c r="N182" s="1">
        <v>36</v>
      </c>
      <c r="O182" s="1">
        <v>0.18</v>
      </c>
      <c r="Q182" s="102" t="s">
        <v>2796</v>
      </c>
    </row>
    <row r="183" spans="1:18">
      <c r="A183" s="3" t="s">
        <v>2916</v>
      </c>
      <c r="B183" s="8" t="s">
        <v>2877</v>
      </c>
      <c r="C183" t="s">
        <v>2878</v>
      </c>
      <c r="D183" t="s">
        <v>2879</v>
      </c>
      <c r="E183" s="1">
        <v>0.13</v>
      </c>
      <c r="F183" s="1">
        <v>23</v>
      </c>
      <c r="G183" s="1">
        <v>55.5</v>
      </c>
      <c r="H183" s="1">
        <v>-10</v>
      </c>
      <c r="J183" s="1">
        <v>-7.3</v>
      </c>
      <c r="L183" s="1">
        <v>14.1</v>
      </c>
      <c r="M183" s="1">
        <v>1.5</v>
      </c>
      <c r="N183" s="1">
        <v>5.0999999999999996</v>
      </c>
      <c r="P183" s="1">
        <v>0.06</v>
      </c>
      <c r="Q183" s="102" t="s">
        <v>2880</v>
      </c>
    </row>
    <row r="184" spans="1:18" ht="18">
      <c r="A184" s="3" t="s">
        <v>2986</v>
      </c>
      <c r="B184" s="8" t="s">
        <v>2987</v>
      </c>
      <c r="C184" t="s">
        <v>2988</v>
      </c>
      <c r="D184" t="s">
        <v>2989</v>
      </c>
      <c r="E184" s="1">
        <v>0.13</v>
      </c>
      <c r="F184" s="1">
        <v>35</v>
      </c>
      <c r="G184" s="1">
        <v>230</v>
      </c>
      <c r="H184" s="1">
        <v>-7</v>
      </c>
      <c r="I184" s="1">
        <v>10.5</v>
      </c>
      <c r="J184" s="1">
        <v>-18</v>
      </c>
      <c r="L184" s="1">
        <v>21.8</v>
      </c>
      <c r="N184" s="1">
        <v>66</v>
      </c>
      <c r="P184" s="1">
        <v>0.1537</v>
      </c>
      <c r="Q184" s="102" t="s">
        <v>2990</v>
      </c>
    </row>
    <row r="185" spans="1:18">
      <c r="A185" t="s">
        <v>3123</v>
      </c>
      <c r="B185" s="8" t="s">
        <v>3079</v>
      </c>
      <c r="C185" t="s">
        <v>3080</v>
      </c>
      <c r="D185" t="s">
        <v>3081</v>
      </c>
      <c r="E185" s="1">
        <v>0.13</v>
      </c>
      <c r="F185" s="1">
        <v>68</v>
      </c>
      <c r="G185" s="1">
        <v>300</v>
      </c>
      <c r="H185" s="1">
        <v>-9</v>
      </c>
      <c r="I185" s="1">
        <v>11</v>
      </c>
      <c r="J185" s="1">
        <v>-15.6</v>
      </c>
      <c r="L185" s="1">
        <v>10.8</v>
      </c>
      <c r="M185" s="1">
        <v>3.3</v>
      </c>
      <c r="N185" s="1">
        <v>119</v>
      </c>
      <c r="O185" s="1">
        <v>2.5999999999999999E-2</v>
      </c>
      <c r="P185" s="1">
        <v>0.26600000000000001</v>
      </c>
      <c r="Q185" s="102" t="s">
        <v>3082</v>
      </c>
    </row>
    <row r="186" spans="1:18">
      <c r="A186" s="80" t="s">
        <v>3221</v>
      </c>
      <c r="B186" s="8" t="s">
        <v>3222</v>
      </c>
      <c r="C186" t="s">
        <v>3223</v>
      </c>
      <c r="D186" t="s">
        <v>3224</v>
      </c>
      <c r="E186" s="1">
        <v>0.13</v>
      </c>
      <c r="F186" s="1">
        <v>31</v>
      </c>
      <c r="G186" s="1">
        <v>140</v>
      </c>
      <c r="H186" s="1">
        <v>-3</v>
      </c>
      <c r="J186" s="1">
        <v>-18.399999999999999</v>
      </c>
      <c r="L186" s="1">
        <v>17.399999999999999</v>
      </c>
      <c r="M186" s="1">
        <v>2</v>
      </c>
      <c r="N186" s="1">
        <v>31.8</v>
      </c>
      <c r="O186" s="1">
        <v>0.1</v>
      </c>
      <c r="P186" s="1">
        <v>0.4</v>
      </c>
      <c r="Q186" s="4" t="s">
        <v>3225</v>
      </c>
    </row>
    <row r="187" spans="1:18">
      <c r="E187" s="1">
        <v>0.13</v>
      </c>
      <c r="F187" s="1">
        <v>31</v>
      </c>
      <c r="G187" s="1">
        <v>140</v>
      </c>
      <c r="H187" s="1">
        <v>-3</v>
      </c>
      <c r="J187" s="1">
        <v>-19.7</v>
      </c>
      <c r="L187" s="1">
        <v>20</v>
      </c>
      <c r="M187" s="1">
        <v>2</v>
      </c>
      <c r="N187" s="1">
        <v>31.8</v>
      </c>
      <c r="O187" s="1">
        <v>0.1</v>
      </c>
      <c r="P187" s="1">
        <v>0.4</v>
      </c>
      <c r="Q187"/>
    </row>
    <row r="188" spans="1:18">
      <c r="A188" t="s">
        <v>3270</v>
      </c>
      <c r="B188" s="8" t="s">
        <v>3275</v>
      </c>
      <c r="C188" t="s">
        <v>3276</v>
      </c>
      <c r="D188" t="s">
        <v>3277</v>
      </c>
      <c r="E188" s="1">
        <v>0.13</v>
      </c>
      <c r="F188" s="1">
        <v>48</v>
      </c>
      <c r="G188" s="1">
        <v>86</v>
      </c>
      <c r="H188" s="1">
        <v>-5</v>
      </c>
      <c r="I188" s="1">
        <v>4.5</v>
      </c>
      <c r="J188" s="1">
        <v>-12.5</v>
      </c>
      <c r="L188" s="1">
        <v>13.5</v>
      </c>
      <c r="M188" s="1">
        <v>0.7</v>
      </c>
      <c r="N188" s="1">
        <v>5.9</v>
      </c>
      <c r="O188" s="1">
        <v>8.5000000000000006E-2</v>
      </c>
      <c r="Q188" s="4" t="s">
        <v>3278</v>
      </c>
    </row>
    <row r="189" spans="1:18">
      <c r="A189" t="s">
        <v>3319</v>
      </c>
      <c r="B189" s="8" t="s">
        <v>3297</v>
      </c>
      <c r="C189" t="s">
        <v>3298</v>
      </c>
      <c r="D189" t="s">
        <v>3299</v>
      </c>
      <c r="E189" s="1">
        <v>0.13</v>
      </c>
      <c r="F189" s="1">
        <v>80</v>
      </c>
      <c r="G189" s="1">
        <v>180</v>
      </c>
      <c r="H189" s="1">
        <v>-2</v>
      </c>
      <c r="I189" s="1">
        <v>6.1</v>
      </c>
      <c r="L189" s="1">
        <v>15.5</v>
      </c>
      <c r="M189" s="1">
        <v>0.9</v>
      </c>
      <c r="N189" s="1">
        <v>46</v>
      </c>
      <c r="O189" s="1">
        <v>0.48</v>
      </c>
      <c r="P189" s="1">
        <v>0.7</v>
      </c>
      <c r="Q189" s="4" t="s">
        <v>3300</v>
      </c>
    </row>
    <row r="190" spans="1:18" ht="17.25">
      <c r="A190" t="s">
        <v>3311</v>
      </c>
      <c r="B190" s="8" t="s">
        <v>3347</v>
      </c>
      <c r="C190" t="s">
        <v>3348</v>
      </c>
      <c r="D190" t="s">
        <v>3349</v>
      </c>
      <c r="E190" s="1">
        <v>0.09</v>
      </c>
      <c r="F190" s="1">
        <v>37.6</v>
      </c>
      <c r="G190" s="1">
        <v>139.80000000000001</v>
      </c>
      <c r="H190" s="1">
        <v>-10</v>
      </c>
      <c r="I190" s="1">
        <v>7.2</v>
      </c>
      <c r="J190" s="1">
        <v>-31</v>
      </c>
      <c r="L190" s="1">
        <v>26.5</v>
      </c>
      <c r="M190" s="1">
        <v>1</v>
      </c>
      <c r="N190" s="1">
        <v>20.6</v>
      </c>
      <c r="P190" s="1">
        <v>0.68799999999999994</v>
      </c>
      <c r="Q190" s="4" t="s">
        <v>3350</v>
      </c>
    </row>
    <row r="191" spans="1:18">
      <c r="A191" t="s">
        <v>3311</v>
      </c>
      <c r="B191" s="8" t="s">
        <v>3371</v>
      </c>
      <c r="C191" t="s">
        <v>3372</v>
      </c>
      <c r="D191" t="s">
        <v>3373</v>
      </c>
      <c r="E191" s="1">
        <v>0.13</v>
      </c>
      <c r="F191" s="1">
        <v>24</v>
      </c>
      <c r="G191" s="1">
        <v>100</v>
      </c>
      <c r="H191" s="1">
        <v>-4</v>
      </c>
      <c r="I191" s="1">
        <v>4</v>
      </c>
      <c r="J191" s="1">
        <v>-24.5</v>
      </c>
      <c r="L191" s="1">
        <v>22.2</v>
      </c>
      <c r="M191" s="1">
        <v>2.5</v>
      </c>
      <c r="N191" s="1">
        <v>23.5</v>
      </c>
      <c r="O191" s="1">
        <v>1.7999999999999999E-2</v>
      </c>
      <c r="Q191" s="4" t="s">
        <v>3374</v>
      </c>
    </row>
    <row r="192" spans="1:18">
      <c r="E192" s="1">
        <v>0.13</v>
      </c>
      <c r="F192" s="1">
        <v>16</v>
      </c>
      <c r="G192" s="1">
        <v>100</v>
      </c>
      <c r="H192" s="1">
        <v>-4</v>
      </c>
      <c r="I192" s="1">
        <v>6.3</v>
      </c>
      <c r="J192" s="1">
        <v>-26.5</v>
      </c>
      <c r="L192" s="1">
        <v>16</v>
      </c>
      <c r="M192" s="1">
        <v>1.2</v>
      </c>
      <c r="N192" s="1">
        <v>3.8</v>
      </c>
      <c r="O192" s="1">
        <v>1.4E-2</v>
      </c>
    </row>
    <row r="193" spans="1:17" ht="18">
      <c r="A193" t="s">
        <v>3704</v>
      </c>
      <c r="B193" s="8" t="s">
        <v>3520</v>
      </c>
      <c r="C193" t="s">
        <v>3521</v>
      </c>
      <c r="D193" t="s">
        <v>3522</v>
      </c>
      <c r="E193" s="1">
        <v>0.18</v>
      </c>
      <c r="F193" s="1">
        <v>5.9</v>
      </c>
      <c r="G193" s="1">
        <v>14.45</v>
      </c>
      <c r="H193" s="1">
        <v>-15</v>
      </c>
      <c r="I193" s="1">
        <v>3</v>
      </c>
      <c r="J193" s="1">
        <v>-15</v>
      </c>
      <c r="L193" s="1">
        <v>18</v>
      </c>
      <c r="M193" s="1">
        <v>1.8</v>
      </c>
      <c r="N193" s="1">
        <v>11.52</v>
      </c>
      <c r="O193" s="1">
        <v>0.22</v>
      </c>
      <c r="Q193" t="s">
        <v>3523</v>
      </c>
    </row>
    <row r="194" spans="1:17">
      <c r="A194" t="s">
        <v>3849</v>
      </c>
      <c r="B194" s="8" t="s">
        <v>3949</v>
      </c>
      <c r="C194" t="s">
        <v>3950</v>
      </c>
      <c r="D194" t="s">
        <v>3951</v>
      </c>
      <c r="E194" s="1">
        <v>0.18</v>
      </c>
      <c r="F194" s="1">
        <v>17.5</v>
      </c>
      <c r="G194" s="1">
        <v>9.25</v>
      </c>
      <c r="H194" s="1">
        <v>-10</v>
      </c>
      <c r="I194" s="1">
        <v>1.67</v>
      </c>
      <c r="J194" s="1">
        <v>-15.5</v>
      </c>
      <c r="L194" s="1">
        <v>21.5</v>
      </c>
      <c r="M194" s="1">
        <v>3.3</v>
      </c>
      <c r="N194" s="1">
        <v>33.200000000000003</v>
      </c>
      <c r="O194" s="1">
        <v>7.0000000000000007E-2</v>
      </c>
      <c r="Q194" t="s">
        <v>3952</v>
      </c>
    </row>
    <row r="195" spans="1:17">
      <c r="A195" t="s">
        <v>3963</v>
      </c>
      <c r="B195" s="8" t="s">
        <v>3994</v>
      </c>
      <c r="C195" t="s">
        <v>3995</v>
      </c>
      <c r="D195" t="s">
        <v>3996</v>
      </c>
      <c r="E195" s="1">
        <v>0.13</v>
      </c>
      <c r="F195" s="1">
        <v>28</v>
      </c>
      <c r="G195" s="1">
        <v>92</v>
      </c>
      <c r="H195" s="1">
        <v>-10</v>
      </c>
      <c r="I195" s="1">
        <v>4</v>
      </c>
      <c r="J195" s="1">
        <v>-19.8</v>
      </c>
      <c r="L195" s="1">
        <v>20.399999999999999</v>
      </c>
      <c r="M195" s="1">
        <v>2.5</v>
      </c>
      <c r="N195" s="1">
        <v>12.5</v>
      </c>
      <c r="O195" s="1">
        <v>0.56999999999999995</v>
      </c>
      <c r="Q195" t="s">
        <v>3997</v>
      </c>
    </row>
    <row r="196" spans="1:17" ht="18">
      <c r="A196" t="s">
        <v>3078</v>
      </c>
      <c r="B196" s="8" t="s">
        <v>4038</v>
      </c>
      <c r="C196" t="s">
        <v>4039</v>
      </c>
      <c r="D196" t="s">
        <v>4040</v>
      </c>
      <c r="E196" s="1">
        <v>0.13</v>
      </c>
      <c r="F196" s="1">
        <v>53</v>
      </c>
      <c r="G196" s="1">
        <v>83.5</v>
      </c>
      <c r="H196" s="1">
        <v>-9</v>
      </c>
      <c r="I196" s="1">
        <v>3.8</v>
      </c>
      <c r="J196" s="1">
        <v>-24.5</v>
      </c>
      <c r="L196" s="1">
        <v>24.1</v>
      </c>
      <c r="N196" s="1">
        <v>23</v>
      </c>
      <c r="O196" s="1">
        <v>0.14799999999999999</v>
      </c>
      <c r="P196" s="1">
        <v>0.35199999999999998</v>
      </c>
      <c r="Q196" t="s">
        <v>4041</v>
      </c>
    </row>
    <row r="197" spans="1:17">
      <c r="Q197"/>
    </row>
    <row r="198" spans="1:17">
      <c r="Q198"/>
    </row>
    <row r="199" spans="1:17">
      <c r="Q199"/>
    </row>
    <row r="200" spans="1:17">
      <c r="Q200"/>
    </row>
    <row r="201" spans="1:17">
      <c r="Q201"/>
    </row>
    <row r="202" spans="1:17">
      <c r="Q202"/>
    </row>
    <row r="203" spans="1:17">
      <c r="Q203"/>
    </row>
    <row r="204" spans="1:17">
      <c r="Q204"/>
    </row>
    <row r="205" spans="1:17">
      <c r="Q205"/>
    </row>
    <row r="206" spans="1:17">
      <c r="Q206"/>
    </row>
    <row r="207" spans="1:17">
      <c r="Q207"/>
    </row>
    <row r="208" spans="1:17">
      <c r="Q208"/>
    </row>
    <row r="209" spans="17:17">
      <c r="Q209"/>
    </row>
    <row r="210" spans="17:17">
      <c r="Q210"/>
    </row>
    <row r="211" spans="17:17">
      <c r="Q211"/>
    </row>
    <row r="212" spans="17:17">
      <c r="Q212"/>
    </row>
    <row r="213" spans="17:17">
      <c r="Q213"/>
    </row>
    <row r="214" spans="17:17">
      <c r="Q214"/>
    </row>
    <row r="215" spans="17:17">
      <c r="Q215"/>
    </row>
    <row r="216" spans="17:17">
      <c r="Q216"/>
    </row>
  </sheetData>
  <phoneticPr fontId="18" type="noConversion"/>
  <hyperlinks>
    <hyperlink ref="Q160" r:id="rId1" xr:uid="{00000000-0004-0000-0500-000000000000}"/>
    <hyperlink ref="Q98" r:id="rId2" xr:uid="{00000000-0004-0000-0500-000001000000}"/>
    <hyperlink ref="Q30" r:id="rId3" xr:uid="{00000000-0004-0000-0500-000002000000}"/>
    <hyperlink ref="Q31" r:id="rId4" xr:uid="{00000000-0004-0000-0500-000003000000}"/>
    <hyperlink ref="Q72" r:id="rId5" xr:uid="{00000000-0004-0000-0500-000004000000}"/>
    <hyperlink ref="Q114" r:id="rId6" xr:uid="{00000000-0004-0000-0500-000005000000}"/>
    <hyperlink ref="Q180" r:id="rId7" xr:uid="{00000000-0004-0000-0500-000006000000}"/>
    <hyperlink ref="Q115" r:id="rId8" display="https://ieeexplore-ieee-org/stamp/stamp.jsp?tp=&amp;arnumber=9218409" xr:uid="{00000000-0004-0000-0500-000007000000}"/>
    <hyperlink ref="Q182" r:id="rId9" xr:uid="{00000000-0004-0000-0500-000008000000}"/>
    <hyperlink ref="Q76" r:id="rId10" xr:uid="{00000000-0004-0000-0500-000009000000}"/>
    <hyperlink ref="Q77" r:id="rId11" xr:uid="{00000000-0004-0000-0500-00000A000000}"/>
    <hyperlink ref="Q183" r:id="rId12" xr:uid="{00000000-0004-0000-0500-00000B000000}"/>
    <hyperlink ref="Q33" r:id="rId13" xr:uid="{00000000-0004-0000-0500-00000C000000}"/>
    <hyperlink ref="Q34" r:id="rId14" xr:uid="{00000000-0004-0000-0500-00000D000000}"/>
    <hyperlink ref="Q117" r:id="rId15" xr:uid="{00000000-0004-0000-0500-00000E000000}"/>
    <hyperlink ref="Q118" r:id="rId16" xr:uid="{00000000-0004-0000-0500-00000F000000}"/>
    <hyperlink ref="Q184" r:id="rId17" xr:uid="{00000000-0004-0000-0500-000010000000}"/>
    <hyperlink ref="Q156" r:id="rId18" xr:uid="{00000000-0004-0000-0500-000011000000}"/>
    <hyperlink ref="Q185" r:id="rId19" xr:uid="{00000000-0004-0000-0500-000012000000}"/>
    <hyperlink ref="Q35" r:id="rId20" xr:uid="{817C4D61-44E5-4069-95B6-013DDD890D90}"/>
    <hyperlink ref="Q36" r:id="rId21" xr:uid="{FE9D3918-07CC-4787-B9D4-CE89997B13A0}"/>
    <hyperlink ref="Q186" r:id="rId22" xr:uid="{2B0227C5-CDDE-48D9-BA13-444E527CB9F0}"/>
    <hyperlink ref="Q188" r:id="rId23" xr:uid="{8DFD8945-4281-4A78-83EC-17BCAFB88744}"/>
    <hyperlink ref="Q189" r:id="rId24" xr:uid="{EB60FC86-BD4C-4106-AA6F-C0E46EE9978E}"/>
    <hyperlink ref="Q78" r:id="rId25" xr:uid="{6AE2499D-DD1F-4495-A393-201ECEE555A5}"/>
    <hyperlink ref="Q190" r:id="rId26" xr:uid="{94A018B8-7B56-4C3A-A520-EB7F9179F78C}"/>
    <hyperlink ref="Q191" r:id="rId27" xr:uid="{99807485-1E4D-42D1-919F-B2AD2F5B8D5D}"/>
    <hyperlink ref="Q120" r:id="rId28" xr:uid="{3FB87FF0-D258-4214-80C1-2F28FE6F1784}"/>
    <hyperlink ref="Q37" r:id="rId29" xr:uid="{9FE70E7D-989F-4C9D-987C-7A3E82429E88}"/>
  </hyperlinks>
  <pageMargins left="0.7" right="0.7" top="0.75" bottom="0.75" header="0.3" footer="0.3"/>
  <pageSetup orientation="portrait" r:id="rId30"/>
  <legacyDrawing r:id="rId3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R71"/>
  <sheetViews>
    <sheetView zoomScaleNormal="100" workbookViewId="0">
      <pane ySplit="1" topLeftCell="A54" activePane="bottomLeft" state="frozen"/>
      <selection activeCell="C1" sqref="C1"/>
      <selection pane="bottomLeft" activeCell="M72" sqref="M72"/>
    </sheetView>
  </sheetViews>
  <sheetFormatPr defaultRowHeight="15"/>
  <cols>
    <col min="1" max="1" width="11.140625" customWidth="1"/>
    <col min="2" max="2" width="10.42578125" customWidth="1"/>
    <col min="3" max="3" width="11" customWidth="1"/>
    <col min="5" max="5" width="15.140625" customWidth="1"/>
    <col min="6" max="7" width="13.85546875" customWidth="1"/>
    <col min="8" max="8" width="9.28515625" customWidth="1"/>
    <col min="9" max="9" width="16.140625" customWidth="1"/>
    <col min="10" max="10" width="13.28515625" customWidth="1"/>
    <col min="11" max="11" width="13" customWidth="1"/>
    <col min="12" max="12" width="9.42578125" customWidth="1"/>
    <col min="13" max="13" width="8" customWidth="1"/>
    <col min="14" max="14" width="9.42578125" customWidth="1"/>
    <col min="15" max="15" width="18.5703125" customWidth="1"/>
    <col min="16" max="16" width="14.42578125" customWidth="1"/>
    <col min="17" max="17" width="10.28515625" customWidth="1"/>
  </cols>
  <sheetData>
    <row r="1" spans="1:18" ht="15.75">
      <c r="A1" s="41" t="s">
        <v>0</v>
      </c>
      <c r="B1" s="42" t="s">
        <v>1</v>
      </c>
      <c r="C1" s="42" t="s">
        <v>2</v>
      </c>
      <c r="D1" s="42" t="s">
        <v>3</v>
      </c>
      <c r="E1" s="42" t="s">
        <v>14</v>
      </c>
      <c r="F1" s="42" t="s">
        <v>6</v>
      </c>
      <c r="G1" s="42" t="s">
        <v>1868</v>
      </c>
      <c r="H1" s="42" t="s">
        <v>10</v>
      </c>
      <c r="I1" s="42" t="s">
        <v>9</v>
      </c>
      <c r="J1" s="42" t="s">
        <v>7</v>
      </c>
      <c r="K1" s="42" t="s">
        <v>21</v>
      </c>
      <c r="L1" s="42" t="s">
        <v>8</v>
      </c>
      <c r="M1" s="57" t="s">
        <v>1108</v>
      </c>
      <c r="N1" s="42" t="s">
        <v>335</v>
      </c>
      <c r="O1" s="42" t="s">
        <v>149</v>
      </c>
      <c r="P1" s="43" t="s">
        <v>148</v>
      </c>
      <c r="Q1" s="42" t="s">
        <v>4</v>
      </c>
    </row>
    <row r="2" spans="1:18" ht="15.75">
      <c r="A2" s="41" t="s">
        <v>416</v>
      </c>
      <c r="B2" s="42"/>
      <c r="C2" s="42"/>
      <c r="D2" s="42"/>
      <c r="E2" s="42"/>
      <c r="F2" s="42"/>
      <c r="G2" s="42"/>
      <c r="H2" s="42"/>
      <c r="I2" s="42"/>
      <c r="J2" s="42"/>
      <c r="K2" s="42"/>
      <c r="L2" s="42"/>
      <c r="M2" s="42"/>
      <c r="N2" s="42"/>
      <c r="O2" s="42"/>
      <c r="P2" s="43"/>
      <c r="Q2" s="42"/>
    </row>
    <row r="3" spans="1:18">
      <c r="A3" t="s">
        <v>1859</v>
      </c>
      <c r="B3" s="8" t="s">
        <v>64</v>
      </c>
      <c r="C3" s="3" t="s">
        <v>65</v>
      </c>
      <c r="D3" s="7" t="s">
        <v>66</v>
      </c>
      <c r="E3" s="3" t="s">
        <v>5</v>
      </c>
      <c r="F3" s="1">
        <v>3.5</v>
      </c>
      <c r="G3" s="1">
        <v>5.25</v>
      </c>
      <c r="H3">
        <v>-5</v>
      </c>
      <c r="I3" s="9">
        <v>1.4</v>
      </c>
      <c r="K3">
        <v>9</v>
      </c>
      <c r="L3">
        <v>25</v>
      </c>
      <c r="M3">
        <v>8</v>
      </c>
      <c r="N3">
        <v>320</v>
      </c>
      <c r="P3">
        <v>4.9000000000000004</v>
      </c>
      <c r="Q3" s="4" t="s">
        <v>67</v>
      </c>
      <c r="R3" s="3" t="s">
        <v>5</v>
      </c>
    </row>
    <row r="4" spans="1:18">
      <c r="A4" t="s">
        <v>1809</v>
      </c>
      <c r="B4" s="8" t="s">
        <v>143</v>
      </c>
      <c r="C4" s="3" t="s">
        <v>144</v>
      </c>
      <c r="D4" s="7" t="s">
        <v>145</v>
      </c>
      <c r="E4" s="3" t="s">
        <v>5</v>
      </c>
      <c r="F4" s="1">
        <v>3.7</v>
      </c>
      <c r="G4" s="1">
        <v>2.15</v>
      </c>
      <c r="H4" s="9">
        <v>-7.5</v>
      </c>
      <c r="I4" s="10">
        <v>1.2</v>
      </c>
      <c r="L4">
        <v>17.7</v>
      </c>
      <c r="M4">
        <v>10</v>
      </c>
      <c r="N4" s="3" t="s">
        <v>5</v>
      </c>
      <c r="P4" s="3">
        <v>4.8600000000000003</v>
      </c>
      <c r="Q4" s="4" t="s">
        <v>146</v>
      </c>
      <c r="R4" s="3" t="s">
        <v>147</v>
      </c>
    </row>
    <row r="5" spans="1:18">
      <c r="F5" s="1">
        <v>3.7</v>
      </c>
      <c r="G5" s="1">
        <v>2.15</v>
      </c>
      <c r="H5" s="3">
        <v>-7</v>
      </c>
      <c r="I5" s="9">
        <v>1.5</v>
      </c>
      <c r="J5">
        <v>3</v>
      </c>
      <c r="L5">
        <v>18</v>
      </c>
      <c r="M5">
        <v>10</v>
      </c>
      <c r="P5">
        <v>4.8600000000000003</v>
      </c>
    </row>
    <row r="6" spans="1:18">
      <c r="F6" s="1">
        <v>16.8</v>
      </c>
      <c r="G6" s="1">
        <v>9.6</v>
      </c>
      <c r="H6" s="3">
        <v>-4</v>
      </c>
      <c r="I6" s="10">
        <v>2</v>
      </c>
      <c r="L6">
        <v>13.3</v>
      </c>
      <c r="M6">
        <v>10</v>
      </c>
      <c r="N6" s="3" t="s">
        <v>5</v>
      </c>
      <c r="P6">
        <v>3.22</v>
      </c>
    </row>
    <row r="7" spans="1:18">
      <c r="A7" t="s">
        <v>1810</v>
      </c>
      <c r="B7" s="8" t="s">
        <v>164</v>
      </c>
      <c r="C7" s="3" t="s">
        <v>165</v>
      </c>
      <c r="D7" s="7" t="s">
        <v>166</v>
      </c>
      <c r="E7" s="3" t="s">
        <v>5</v>
      </c>
      <c r="F7" s="1">
        <v>3</v>
      </c>
      <c r="G7" s="1">
        <v>9.5</v>
      </c>
      <c r="H7" s="9">
        <v>-5</v>
      </c>
      <c r="I7">
        <v>2.8</v>
      </c>
      <c r="K7" s="9">
        <v>20</v>
      </c>
      <c r="L7">
        <v>18</v>
      </c>
      <c r="M7">
        <v>15</v>
      </c>
      <c r="N7">
        <v>4500</v>
      </c>
      <c r="P7" s="3"/>
      <c r="Q7" s="4" t="s">
        <v>167</v>
      </c>
      <c r="R7" s="3" t="s">
        <v>5</v>
      </c>
    </row>
    <row r="8" spans="1:18">
      <c r="A8" t="s">
        <v>2446</v>
      </c>
      <c r="B8" s="8" t="s">
        <v>345</v>
      </c>
      <c r="C8" s="3" t="s">
        <v>346</v>
      </c>
      <c r="D8" s="7" t="s">
        <v>347</v>
      </c>
      <c r="E8" s="6">
        <v>0.25</v>
      </c>
      <c r="F8" s="1">
        <v>2.8</v>
      </c>
      <c r="G8" s="1">
        <v>13.1</v>
      </c>
      <c r="H8">
        <v>-10</v>
      </c>
      <c r="I8">
        <v>1.8</v>
      </c>
      <c r="L8">
        <v>25</v>
      </c>
      <c r="M8">
        <v>10</v>
      </c>
      <c r="P8">
        <v>8</v>
      </c>
      <c r="Q8" s="4" t="s">
        <v>348</v>
      </c>
      <c r="R8" s="3" t="s">
        <v>5</v>
      </c>
    </row>
    <row r="9" spans="1:18">
      <c r="A9" t="s">
        <v>3091</v>
      </c>
      <c r="B9" s="8" t="s">
        <v>3092</v>
      </c>
      <c r="C9" s="3" t="s">
        <v>3093</v>
      </c>
      <c r="D9" s="7" t="s">
        <v>3094</v>
      </c>
      <c r="E9" s="6">
        <v>7.0000000000000007E-2</v>
      </c>
      <c r="F9" s="1">
        <v>38</v>
      </c>
      <c r="G9" s="1">
        <v>82</v>
      </c>
      <c r="H9">
        <v>-10</v>
      </c>
      <c r="I9">
        <v>2.8</v>
      </c>
      <c r="J9">
        <v>-10</v>
      </c>
      <c r="K9">
        <v>-7.4</v>
      </c>
      <c r="L9">
        <v>24</v>
      </c>
      <c r="M9">
        <v>5</v>
      </c>
      <c r="N9">
        <v>307</v>
      </c>
      <c r="O9">
        <v>2</v>
      </c>
      <c r="Q9" s="4" t="s">
        <v>3095</v>
      </c>
      <c r="R9" s="3"/>
    </row>
    <row r="10" spans="1:18">
      <c r="A10" t="s">
        <v>3592</v>
      </c>
      <c r="B10" s="8" t="s">
        <v>3593</v>
      </c>
      <c r="C10" s="3" t="s">
        <v>3594</v>
      </c>
      <c r="D10" s="7" t="s">
        <v>3595</v>
      </c>
      <c r="E10" s="6">
        <v>7.0000000000000007E-2</v>
      </c>
      <c r="F10" s="1">
        <v>127</v>
      </c>
      <c r="G10" s="1">
        <v>65.5</v>
      </c>
      <c r="H10">
        <v>-11.7</v>
      </c>
      <c r="I10">
        <v>3.1</v>
      </c>
      <c r="J10">
        <v>13.5</v>
      </c>
      <c r="K10">
        <v>23.1</v>
      </c>
      <c r="L10">
        <v>6.7</v>
      </c>
      <c r="M10">
        <v>7.5</v>
      </c>
      <c r="N10">
        <v>720</v>
      </c>
      <c r="P10">
        <v>1.5</v>
      </c>
      <c r="Q10" s="4" t="s">
        <v>3596</v>
      </c>
      <c r="R10" s="3"/>
    </row>
    <row r="11" spans="1:18">
      <c r="A11" t="s">
        <v>3524</v>
      </c>
      <c r="B11" s="8" t="s">
        <v>3617</v>
      </c>
      <c r="C11" s="3" t="s">
        <v>3618</v>
      </c>
      <c r="D11" s="7" t="s">
        <v>3619</v>
      </c>
      <c r="E11" s="6">
        <v>0.15</v>
      </c>
      <c r="F11" s="1">
        <v>2.2000000000000002</v>
      </c>
      <c r="G11" s="1">
        <v>5</v>
      </c>
      <c r="H11">
        <v>-10</v>
      </c>
      <c r="I11">
        <v>1.6</v>
      </c>
      <c r="K11">
        <v>25.4</v>
      </c>
      <c r="L11">
        <v>12.1</v>
      </c>
      <c r="Q11" s="102"/>
      <c r="R11" s="3"/>
    </row>
    <row r="12" spans="1:18">
      <c r="A12" t="s">
        <v>3760</v>
      </c>
      <c r="B12" s="8" t="s">
        <v>3761</v>
      </c>
      <c r="C12" t="s">
        <v>3762</v>
      </c>
      <c r="D12" s="7" t="s">
        <v>3763</v>
      </c>
      <c r="E12" s="6">
        <v>0.06</v>
      </c>
      <c r="F12" s="1">
        <v>33</v>
      </c>
      <c r="G12" s="1">
        <v>20.5</v>
      </c>
      <c r="H12">
        <v>-10</v>
      </c>
      <c r="I12">
        <v>2</v>
      </c>
      <c r="J12">
        <v>10</v>
      </c>
      <c r="L12">
        <v>9</v>
      </c>
      <c r="N12">
        <v>495</v>
      </c>
      <c r="P12">
        <v>6</v>
      </c>
      <c r="Q12" s="102" t="s">
        <v>3764</v>
      </c>
      <c r="R12" s="3"/>
    </row>
    <row r="13" spans="1:18">
      <c r="B13" s="8"/>
      <c r="D13" s="7"/>
      <c r="E13" s="6"/>
      <c r="F13" s="1">
        <v>36</v>
      </c>
      <c r="G13" s="1">
        <v>22</v>
      </c>
      <c r="H13">
        <v>-10</v>
      </c>
      <c r="I13">
        <v>2</v>
      </c>
      <c r="J13">
        <v>10</v>
      </c>
      <c r="L13">
        <v>9.3000000000000007</v>
      </c>
      <c r="N13">
        <v>350</v>
      </c>
      <c r="P13">
        <v>6</v>
      </c>
      <c r="Q13" s="102" t="s">
        <v>3764</v>
      </c>
      <c r="R13" s="3"/>
    </row>
    <row r="14" spans="1:18" ht="15.75">
      <c r="A14" s="47" t="s">
        <v>415</v>
      </c>
      <c r="B14" s="46"/>
      <c r="C14" s="46"/>
      <c r="D14" s="48"/>
      <c r="E14" s="46"/>
      <c r="F14" s="46"/>
      <c r="G14" s="46"/>
      <c r="H14" s="46"/>
      <c r="I14" s="46"/>
      <c r="J14" s="46"/>
      <c r="K14" s="46"/>
      <c r="L14" s="46"/>
      <c r="M14" s="46"/>
      <c r="N14" s="46"/>
      <c r="O14" s="46"/>
      <c r="P14" s="46"/>
      <c r="Q14" s="46"/>
    </row>
    <row r="15" spans="1:18">
      <c r="A15" t="s">
        <v>1640</v>
      </c>
      <c r="B15" s="8" t="s">
        <v>680</v>
      </c>
      <c r="C15" t="s">
        <v>682</v>
      </c>
      <c r="D15" s="7" t="s">
        <v>679</v>
      </c>
      <c r="E15" s="1">
        <v>0.25</v>
      </c>
      <c r="F15" s="27">
        <v>2.7</v>
      </c>
      <c r="G15" s="27">
        <v>1.9</v>
      </c>
      <c r="H15">
        <v>-10</v>
      </c>
      <c r="I15">
        <v>2.5</v>
      </c>
      <c r="J15">
        <v>19.5</v>
      </c>
      <c r="K15">
        <v>31.9</v>
      </c>
      <c r="L15">
        <v>20</v>
      </c>
      <c r="M15">
        <v>40</v>
      </c>
      <c r="N15">
        <v>30000</v>
      </c>
      <c r="Q15" s="4" t="s">
        <v>681</v>
      </c>
      <c r="R15" s="3" t="s">
        <v>445</v>
      </c>
    </row>
    <row r="16" spans="1:18">
      <c r="E16" s="1">
        <v>0.25</v>
      </c>
      <c r="F16" s="1">
        <v>3.5</v>
      </c>
      <c r="G16" s="1">
        <v>2.25</v>
      </c>
      <c r="H16">
        <v>-10</v>
      </c>
      <c r="I16">
        <v>2.1</v>
      </c>
      <c r="J16">
        <v>17.8</v>
      </c>
      <c r="K16">
        <v>28.4</v>
      </c>
      <c r="L16">
        <v>20</v>
      </c>
      <c r="M16">
        <v>40</v>
      </c>
      <c r="N16">
        <v>20000</v>
      </c>
    </row>
    <row r="17" spans="1:18">
      <c r="A17" t="s">
        <v>3078</v>
      </c>
      <c r="B17" t="s">
        <v>3315</v>
      </c>
      <c r="C17" t="s">
        <v>3317</v>
      </c>
      <c r="D17" t="s">
        <v>3316</v>
      </c>
      <c r="E17" s="1">
        <v>0.15</v>
      </c>
      <c r="F17" s="1">
        <v>3</v>
      </c>
      <c r="G17" s="1">
        <v>10.6</v>
      </c>
      <c r="H17" s="1">
        <v>-13</v>
      </c>
      <c r="I17" s="1">
        <v>1.6</v>
      </c>
      <c r="L17">
        <v>12.1</v>
      </c>
      <c r="M17">
        <v>10</v>
      </c>
      <c r="N17">
        <v>150</v>
      </c>
      <c r="Q17" s="4" t="s">
        <v>3318</v>
      </c>
    </row>
    <row r="18" spans="1:18">
      <c r="A18" s="53" t="s">
        <v>735</v>
      </c>
      <c r="B18" s="53"/>
      <c r="C18" s="53"/>
      <c r="D18" s="53"/>
      <c r="E18" s="53"/>
      <c r="F18" s="53"/>
      <c r="G18" s="53"/>
      <c r="H18" s="53"/>
      <c r="I18" s="53"/>
      <c r="J18" s="53"/>
      <c r="K18" s="53"/>
      <c r="L18" s="53"/>
      <c r="M18" s="53"/>
      <c r="N18" s="53"/>
      <c r="O18" s="53"/>
      <c r="P18" s="53"/>
      <c r="Q18" s="53"/>
    </row>
    <row r="19" spans="1:18">
      <c r="A19" s="54" t="s">
        <v>845</v>
      </c>
      <c r="B19" s="54"/>
      <c r="C19" s="54"/>
      <c r="D19" s="54"/>
      <c r="E19" s="54"/>
      <c r="F19" s="54"/>
      <c r="G19" s="54"/>
      <c r="H19" s="54"/>
      <c r="I19" s="54"/>
      <c r="J19" s="54"/>
      <c r="K19" s="54"/>
      <c r="L19" s="54"/>
      <c r="M19" s="54"/>
      <c r="N19" s="54"/>
      <c r="O19" s="54"/>
      <c r="P19" s="54"/>
      <c r="Q19" s="54"/>
    </row>
    <row r="20" spans="1:18">
      <c r="A20" t="s">
        <v>975</v>
      </c>
      <c r="B20" s="8" t="s">
        <v>993</v>
      </c>
      <c r="C20" t="s">
        <v>682</v>
      </c>
      <c r="D20" s="7" t="s">
        <v>994</v>
      </c>
      <c r="E20" s="1">
        <v>0.25</v>
      </c>
      <c r="F20" s="1">
        <v>3.5</v>
      </c>
      <c r="G20" s="1">
        <v>1.75</v>
      </c>
      <c r="H20">
        <v>-8</v>
      </c>
      <c r="I20">
        <v>2.1</v>
      </c>
      <c r="J20" s="9">
        <v>15.2</v>
      </c>
      <c r="K20">
        <v>49.2</v>
      </c>
      <c r="L20">
        <v>20</v>
      </c>
      <c r="M20">
        <v>40</v>
      </c>
      <c r="N20">
        <v>20000</v>
      </c>
      <c r="Q20" s="4" t="s">
        <v>2598</v>
      </c>
      <c r="R20" s="3" t="s">
        <v>5</v>
      </c>
    </row>
    <row r="21" spans="1:18">
      <c r="A21" t="s">
        <v>3867</v>
      </c>
      <c r="B21" s="8" t="s">
        <v>3921</v>
      </c>
      <c r="C21" t="s">
        <v>3922</v>
      </c>
      <c r="D21" s="7" t="s">
        <v>3923</v>
      </c>
      <c r="E21" s="1">
        <v>0.15</v>
      </c>
      <c r="F21" s="1">
        <v>35</v>
      </c>
      <c r="G21" s="1">
        <v>32.5</v>
      </c>
      <c r="H21" s="1">
        <v>-7</v>
      </c>
      <c r="I21" s="1">
        <v>2.4</v>
      </c>
      <c r="J21" s="9">
        <v>-12</v>
      </c>
      <c r="K21">
        <v>-2.4</v>
      </c>
      <c r="L21">
        <v>25.4</v>
      </c>
      <c r="M21">
        <v>4</v>
      </c>
      <c r="N21">
        <v>168</v>
      </c>
      <c r="P21">
        <v>1.26</v>
      </c>
      <c r="Q21" s="4" t="s">
        <v>3924</v>
      </c>
      <c r="R21" s="3"/>
    </row>
    <row r="22" spans="1:18">
      <c r="A22" s="56" t="s">
        <v>1031</v>
      </c>
      <c r="B22" s="55"/>
      <c r="C22" s="55"/>
      <c r="D22" s="55"/>
      <c r="E22" s="55"/>
      <c r="F22" s="55"/>
      <c r="G22" s="55"/>
      <c r="H22" s="55"/>
      <c r="I22" s="55"/>
      <c r="J22" s="55"/>
      <c r="K22" s="55"/>
      <c r="L22" s="55"/>
      <c r="M22" s="55"/>
      <c r="N22" s="55"/>
      <c r="O22" s="55"/>
      <c r="P22" s="55"/>
      <c r="Q22" s="55"/>
    </row>
    <row r="23" spans="1:18">
      <c r="A23" t="s">
        <v>1086</v>
      </c>
      <c r="B23" s="8" t="s">
        <v>1088</v>
      </c>
      <c r="C23" t="s">
        <v>1089</v>
      </c>
      <c r="D23" s="7" t="s">
        <v>1087</v>
      </c>
      <c r="E23" s="3" t="s">
        <v>5</v>
      </c>
      <c r="F23" s="6">
        <v>1.9</v>
      </c>
      <c r="G23" s="6">
        <v>1.05</v>
      </c>
      <c r="I23">
        <v>1.5</v>
      </c>
      <c r="K23">
        <v>26</v>
      </c>
      <c r="L23">
        <v>20</v>
      </c>
      <c r="Q23" s="4" t="s">
        <v>2599</v>
      </c>
      <c r="R23" s="3" t="s">
        <v>5</v>
      </c>
    </row>
    <row r="24" spans="1:18">
      <c r="A24" t="s">
        <v>1110</v>
      </c>
      <c r="B24" s="8" t="s">
        <v>1120</v>
      </c>
      <c r="C24" t="s">
        <v>1122</v>
      </c>
      <c r="D24" s="7" t="s">
        <v>1121</v>
      </c>
      <c r="E24" s="3" t="s">
        <v>5</v>
      </c>
      <c r="F24" s="23">
        <v>3.5</v>
      </c>
      <c r="G24" s="23">
        <v>5.25</v>
      </c>
      <c r="H24">
        <v>-5</v>
      </c>
      <c r="I24">
        <v>1.4</v>
      </c>
      <c r="K24">
        <v>9</v>
      </c>
      <c r="L24">
        <v>25</v>
      </c>
      <c r="M24">
        <v>8</v>
      </c>
      <c r="N24">
        <v>320</v>
      </c>
      <c r="P24">
        <v>4.9000000000000004</v>
      </c>
      <c r="Q24" s="4" t="s">
        <v>2600</v>
      </c>
      <c r="R24" s="3" t="s">
        <v>5</v>
      </c>
    </row>
    <row r="25" spans="1:18">
      <c r="A25" t="s">
        <v>1159</v>
      </c>
      <c r="B25" s="8" t="s">
        <v>1166</v>
      </c>
      <c r="C25" t="s">
        <v>1168</v>
      </c>
      <c r="D25" s="7" t="s">
        <v>1167</v>
      </c>
      <c r="E25" s="3" t="s">
        <v>5</v>
      </c>
      <c r="F25" s="1">
        <v>3</v>
      </c>
      <c r="G25" s="1">
        <v>9.5</v>
      </c>
      <c r="I25">
        <v>2.8</v>
      </c>
      <c r="K25">
        <v>20</v>
      </c>
      <c r="L25">
        <v>18</v>
      </c>
      <c r="M25">
        <v>15</v>
      </c>
      <c r="N25">
        <v>4500</v>
      </c>
      <c r="Q25" s="4" t="s">
        <v>2601</v>
      </c>
      <c r="R25" s="3" t="s">
        <v>5</v>
      </c>
    </row>
    <row r="26" spans="1:18">
      <c r="A26" t="s">
        <v>1159</v>
      </c>
      <c r="B26" s="8" t="s">
        <v>1178</v>
      </c>
      <c r="C26" t="s">
        <v>1180</v>
      </c>
      <c r="D26" s="7" t="s">
        <v>1179</v>
      </c>
      <c r="E26" s="1">
        <v>0.18</v>
      </c>
      <c r="F26" s="1">
        <v>3.7</v>
      </c>
      <c r="G26" s="1">
        <v>2.15</v>
      </c>
      <c r="H26">
        <v>-7</v>
      </c>
      <c r="I26">
        <v>1.5</v>
      </c>
      <c r="L26">
        <v>18</v>
      </c>
      <c r="M26">
        <v>10</v>
      </c>
      <c r="P26">
        <v>4.8600000000000003</v>
      </c>
      <c r="Q26" s="4" t="s">
        <v>2602</v>
      </c>
      <c r="R26" s="3" t="s">
        <v>445</v>
      </c>
    </row>
    <row r="27" spans="1:18">
      <c r="E27" s="1">
        <v>0.18</v>
      </c>
      <c r="F27" s="1">
        <v>16.8</v>
      </c>
      <c r="G27" s="1">
        <v>9.6</v>
      </c>
      <c r="H27">
        <v>-4</v>
      </c>
      <c r="I27" s="9">
        <v>2</v>
      </c>
      <c r="L27">
        <v>13.6</v>
      </c>
      <c r="M27">
        <v>10</v>
      </c>
      <c r="N27">
        <v>500</v>
      </c>
      <c r="P27">
        <v>3.22</v>
      </c>
    </row>
    <row r="28" spans="1:18">
      <c r="A28" t="s">
        <v>1186</v>
      </c>
      <c r="B28" s="8" t="s">
        <v>1192</v>
      </c>
      <c r="C28" t="s">
        <v>1193</v>
      </c>
      <c r="D28" s="7" t="s">
        <v>1191</v>
      </c>
      <c r="E28" s="1">
        <v>0.25</v>
      </c>
      <c r="F28" s="1">
        <v>16</v>
      </c>
      <c r="G28" s="1">
        <v>10</v>
      </c>
      <c r="I28" s="78">
        <v>3.3</v>
      </c>
      <c r="J28">
        <v>1</v>
      </c>
      <c r="L28">
        <v>23</v>
      </c>
      <c r="M28">
        <v>30</v>
      </c>
      <c r="N28">
        <v>12000</v>
      </c>
      <c r="P28">
        <v>11.02</v>
      </c>
      <c r="Q28" s="4" t="s">
        <v>2603</v>
      </c>
      <c r="R28" s="3" t="s">
        <v>5</v>
      </c>
    </row>
    <row r="29" spans="1:18">
      <c r="A29" t="s">
        <v>1202</v>
      </c>
      <c r="B29" s="8" t="s">
        <v>1210</v>
      </c>
      <c r="C29" t="s">
        <v>1212</v>
      </c>
      <c r="D29" s="7" t="s">
        <v>1211</v>
      </c>
      <c r="E29" s="1">
        <v>0.25</v>
      </c>
      <c r="F29" s="27">
        <v>17.2</v>
      </c>
      <c r="G29" s="27">
        <v>11.8</v>
      </c>
      <c r="H29">
        <v>-9</v>
      </c>
      <c r="I29" s="39">
        <v>2.2999999999999998</v>
      </c>
      <c r="L29">
        <v>17.399999999999999</v>
      </c>
      <c r="M29">
        <v>15</v>
      </c>
      <c r="P29">
        <v>3.24</v>
      </c>
      <c r="Q29" s="4" t="s">
        <v>2604</v>
      </c>
      <c r="R29" s="3" t="s">
        <v>5</v>
      </c>
    </row>
    <row r="30" spans="1:18">
      <c r="A30" t="s">
        <v>1213</v>
      </c>
      <c r="B30" s="8" t="s">
        <v>1227</v>
      </c>
      <c r="C30" t="s">
        <v>1228</v>
      </c>
      <c r="D30" s="7" t="s">
        <v>1226</v>
      </c>
      <c r="E30" s="1">
        <v>0.25</v>
      </c>
      <c r="F30" s="1">
        <v>2.5</v>
      </c>
      <c r="G30" s="1">
        <v>9.5500000000000007</v>
      </c>
      <c r="H30">
        <v>-5</v>
      </c>
      <c r="I30">
        <v>2.2999999999999998</v>
      </c>
      <c r="L30">
        <v>18.5</v>
      </c>
      <c r="M30">
        <v>20</v>
      </c>
      <c r="P30">
        <v>2.86</v>
      </c>
      <c r="Q30" s="4" t="s">
        <v>2605</v>
      </c>
      <c r="R30" s="3" t="s">
        <v>5</v>
      </c>
    </row>
    <row r="31" spans="1:18">
      <c r="A31" t="s">
        <v>1213</v>
      </c>
      <c r="B31" s="8" t="s">
        <v>1242</v>
      </c>
      <c r="C31" t="s">
        <v>1243</v>
      </c>
      <c r="D31" s="7" t="s">
        <v>1241</v>
      </c>
      <c r="E31" s="1">
        <v>0.25</v>
      </c>
      <c r="F31" s="1">
        <v>2</v>
      </c>
      <c r="G31" s="1">
        <v>2</v>
      </c>
      <c r="H31">
        <v>-11</v>
      </c>
      <c r="I31">
        <v>0.5</v>
      </c>
      <c r="J31" s="9">
        <v>-0.5</v>
      </c>
      <c r="K31" s="9">
        <v>11</v>
      </c>
      <c r="L31">
        <v>31</v>
      </c>
      <c r="M31">
        <v>10</v>
      </c>
      <c r="N31">
        <v>1200</v>
      </c>
      <c r="Q31" s="4" t="s">
        <v>2606</v>
      </c>
      <c r="R31" s="3" t="s">
        <v>5</v>
      </c>
    </row>
    <row r="32" spans="1:18">
      <c r="A32" t="s">
        <v>1246</v>
      </c>
      <c r="B32" s="8" t="s">
        <v>1254</v>
      </c>
      <c r="C32" t="s">
        <v>1256</v>
      </c>
      <c r="D32" s="7" t="s">
        <v>1255</v>
      </c>
      <c r="E32" s="1">
        <v>0.25</v>
      </c>
      <c r="F32" s="1">
        <v>4</v>
      </c>
      <c r="G32" s="1">
        <v>10</v>
      </c>
      <c r="I32">
        <v>1.6</v>
      </c>
      <c r="L32">
        <v>17</v>
      </c>
      <c r="M32">
        <v>7</v>
      </c>
      <c r="N32">
        <v>210</v>
      </c>
      <c r="P32">
        <v>6</v>
      </c>
      <c r="Q32" s="4" t="s">
        <v>2607</v>
      </c>
      <c r="R32" s="3" t="s">
        <v>445</v>
      </c>
    </row>
    <row r="33" spans="1:18">
      <c r="E33" s="1">
        <v>0.25</v>
      </c>
      <c r="F33" s="1">
        <v>4</v>
      </c>
      <c r="G33" s="1">
        <v>9</v>
      </c>
      <c r="I33">
        <v>2</v>
      </c>
      <c r="L33">
        <v>18.399999999999999</v>
      </c>
      <c r="M33">
        <v>7</v>
      </c>
      <c r="N33">
        <v>350</v>
      </c>
      <c r="P33">
        <v>6</v>
      </c>
    </row>
    <row r="34" spans="1:18">
      <c r="A34" t="s">
        <v>1298</v>
      </c>
      <c r="B34" s="8" t="s">
        <v>1300</v>
      </c>
      <c r="C34" t="s">
        <v>1301</v>
      </c>
      <c r="D34" s="7" t="s">
        <v>1299</v>
      </c>
      <c r="E34" s="1">
        <v>0.25</v>
      </c>
      <c r="F34" s="1">
        <v>1</v>
      </c>
      <c r="G34" s="1">
        <v>5.5</v>
      </c>
      <c r="H34" s="9">
        <v>-8</v>
      </c>
      <c r="I34">
        <v>5.2</v>
      </c>
      <c r="L34">
        <v>12</v>
      </c>
      <c r="M34">
        <v>15</v>
      </c>
      <c r="N34">
        <v>1500</v>
      </c>
      <c r="Q34" s="4" t="s">
        <v>2608</v>
      </c>
      <c r="R34" s="3" t="s">
        <v>5</v>
      </c>
    </row>
    <row r="35" spans="1:18">
      <c r="A35" t="s">
        <v>1304</v>
      </c>
      <c r="B35" s="8" t="s">
        <v>1307</v>
      </c>
      <c r="C35" t="s">
        <v>1308</v>
      </c>
      <c r="D35" s="7" t="s">
        <v>1306</v>
      </c>
      <c r="E35" s="1">
        <v>0.12</v>
      </c>
      <c r="F35" s="1">
        <v>8</v>
      </c>
      <c r="G35" s="1">
        <v>37</v>
      </c>
      <c r="H35">
        <v>-10</v>
      </c>
      <c r="I35">
        <v>3</v>
      </c>
      <c r="J35" s="9">
        <v>-1</v>
      </c>
      <c r="K35">
        <v>9</v>
      </c>
      <c r="L35">
        <v>15</v>
      </c>
      <c r="M35">
        <v>20</v>
      </c>
      <c r="N35">
        <v>280</v>
      </c>
      <c r="P35">
        <v>0.7</v>
      </c>
      <c r="Q35" s="4" t="s">
        <v>2609</v>
      </c>
      <c r="R35" s="3" t="s">
        <v>5</v>
      </c>
    </row>
    <row r="36" spans="1:18">
      <c r="A36" t="s">
        <v>1315</v>
      </c>
      <c r="B36" s="8" t="s">
        <v>1339</v>
      </c>
      <c r="C36" t="s">
        <v>1341</v>
      </c>
      <c r="D36" s="7" t="s">
        <v>1340</v>
      </c>
      <c r="E36" s="1">
        <v>0.04</v>
      </c>
      <c r="F36" s="1">
        <v>45</v>
      </c>
      <c r="G36" s="1">
        <v>82.5</v>
      </c>
      <c r="H36">
        <v>-15</v>
      </c>
      <c r="I36">
        <v>4</v>
      </c>
      <c r="J36" s="9">
        <v>-4</v>
      </c>
      <c r="L36">
        <v>25</v>
      </c>
      <c r="P36">
        <v>6.625</v>
      </c>
      <c r="Q36" s="4" t="s">
        <v>2610</v>
      </c>
      <c r="R36" s="3" t="s">
        <v>445</v>
      </c>
    </row>
    <row r="37" spans="1:18">
      <c r="E37" s="1">
        <v>0.04</v>
      </c>
      <c r="F37" s="1">
        <v>60</v>
      </c>
      <c r="G37" s="1">
        <v>140</v>
      </c>
      <c r="H37">
        <v>-3</v>
      </c>
      <c r="I37">
        <v>6</v>
      </c>
      <c r="L37">
        <v>30</v>
      </c>
      <c r="M37">
        <v>5</v>
      </c>
      <c r="N37">
        <v>225</v>
      </c>
      <c r="P37">
        <v>2.1</v>
      </c>
    </row>
    <row r="38" spans="1:18">
      <c r="A38" t="s">
        <v>1350</v>
      </c>
      <c r="B38" s="8" t="s">
        <v>1356</v>
      </c>
      <c r="C38" t="s">
        <v>1357</v>
      </c>
      <c r="D38" s="7" t="s">
        <v>1355</v>
      </c>
      <c r="E38" s="1">
        <v>0.1</v>
      </c>
      <c r="F38" s="1">
        <v>7</v>
      </c>
      <c r="G38" s="1">
        <v>110</v>
      </c>
      <c r="H38">
        <v>-5</v>
      </c>
      <c r="I38">
        <v>7.6</v>
      </c>
      <c r="J38" s="9">
        <v>13.5</v>
      </c>
      <c r="L38">
        <v>30</v>
      </c>
      <c r="M38">
        <v>25</v>
      </c>
      <c r="N38">
        <v>2400</v>
      </c>
      <c r="P38">
        <v>3</v>
      </c>
      <c r="Q38" s="4" t="s">
        <v>2611</v>
      </c>
      <c r="R38" s="3" t="s">
        <v>5</v>
      </c>
    </row>
    <row r="39" spans="1:18">
      <c r="A39" t="s">
        <v>3029</v>
      </c>
      <c r="B39" s="8" t="s">
        <v>3030</v>
      </c>
      <c r="C39" t="s">
        <v>3031</v>
      </c>
      <c r="D39" s="7" t="s">
        <v>3032</v>
      </c>
      <c r="E39" s="1">
        <v>0.1</v>
      </c>
      <c r="F39" s="1">
        <v>1.2</v>
      </c>
      <c r="G39" s="1">
        <v>6.5</v>
      </c>
      <c r="H39">
        <v>-10</v>
      </c>
      <c r="I39">
        <v>2.1</v>
      </c>
      <c r="J39" s="9">
        <v>-2</v>
      </c>
      <c r="K39">
        <v>12.3</v>
      </c>
      <c r="L39">
        <v>15.7</v>
      </c>
      <c r="M39">
        <v>5.5</v>
      </c>
      <c r="N39">
        <v>77.2</v>
      </c>
      <c r="O39">
        <v>0.87</v>
      </c>
      <c r="Q39" s="4" t="s">
        <v>3033</v>
      </c>
      <c r="R39" s="3"/>
    </row>
    <row r="40" spans="1:18">
      <c r="A40" t="s">
        <v>3029</v>
      </c>
      <c r="B40" s="8" t="s">
        <v>3053</v>
      </c>
      <c r="C40" t="s">
        <v>3054</v>
      </c>
      <c r="D40" s="7" t="s">
        <v>3055</v>
      </c>
      <c r="E40" s="1">
        <v>0.09</v>
      </c>
      <c r="F40" s="1">
        <v>65</v>
      </c>
      <c r="G40" s="1">
        <v>32.5</v>
      </c>
      <c r="H40" s="9">
        <v>-6</v>
      </c>
      <c r="I40" s="9">
        <v>1.65</v>
      </c>
      <c r="J40" s="9"/>
      <c r="K40" s="1">
        <v>38</v>
      </c>
      <c r="L40" s="1">
        <v>13.9</v>
      </c>
      <c r="M40">
        <v>20</v>
      </c>
      <c r="N40">
        <v>16000</v>
      </c>
      <c r="Q40" s="4" t="s">
        <v>3056</v>
      </c>
      <c r="R40" s="3"/>
    </row>
    <row r="41" spans="1:18">
      <c r="A41" s="2" t="s">
        <v>3164</v>
      </c>
      <c r="B41" s="8" t="s">
        <v>3200</v>
      </c>
      <c r="C41" t="s">
        <v>3093</v>
      </c>
      <c r="D41" t="s">
        <v>3201</v>
      </c>
      <c r="E41" s="1">
        <v>7.0000000000000007E-2</v>
      </c>
      <c r="F41" s="1">
        <v>42</v>
      </c>
      <c r="G41" s="1">
        <v>101</v>
      </c>
      <c r="H41" s="9">
        <v>-5</v>
      </c>
      <c r="I41" s="9">
        <v>3.5</v>
      </c>
      <c r="J41" s="9">
        <v>0</v>
      </c>
      <c r="K41" s="1"/>
      <c r="L41" s="1">
        <v>33</v>
      </c>
      <c r="M41" s="1">
        <v>5</v>
      </c>
      <c r="N41">
        <v>1840</v>
      </c>
      <c r="Q41" s="4" t="s">
        <v>3202</v>
      </c>
      <c r="R41" s="3"/>
    </row>
    <row r="42" spans="1:18">
      <c r="A42" s="2" t="s">
        <v>3624</v>
      </c>
      <c r="B42" s="8" t="s">
        <v>3656</v>
      </c>
      <c r="C42" t="s">
        <v>3657</v>
      </c>
      <c r="D42" s="7" t="s">
        <v>3658</v>
      </c>
      <c r="E42" s="1">
        <v>0.15</v>
      </c>
      <c r="F42" s="1">
        <v>9</v>
      </c>
      <c r="G42" s="1">
        <v>35.5</v>
      </c>
      <c r="H42" s="9">
        <v>-3</v>
      </c>
      <c r="I42" s="9">
        <v>2.7</v>
      </c>
      <c r="J42" s="9">
        <v>14</v>
      </c>
      <c r="K42" s="1"/>
      <c r="L42" s="1">
        <v>23.7</v>
      </c>
      <c r="M42" s="1">
        <v>8</v>
      </c>
      <c r="N42" s="1">
        <v>740</v>
      </c>
      <c r="P42">
        <v>2.25</v>
      </c>
      <c r="Q42" s="4" t="s">
        <v>3659</v>
      </c>
      <c r="R42" s="3"/>
    </row>
    <row r="43" spans="1:18">
      <c r="A43" s="2" t="s">
        <v>3624</v>
      </c>
      <c r="B43" s="8" t="s">
        <v>3672</v>
      </c>
      <c r="C43" t="s">
        <v>3673</v>
      </c>
      <c r="D43" s="7" t="s">
        <v>3674</v>
      </c>
      <c r="E43" s="1">
        <v>7.0000000000000007E-2</v>
      </c>
      <c r="F43" s="1">
        <v>45</v>
      </c>
      <c r="G43" s="1">
        <v>96.5</v>
      </c>
      <c r="H43" s="9">
        <v>-5</v>
      </c>
      <c r="I43" s="9">
        <v>3.2</v>
      </c>
      <c r="J43" s="9"/>
      <c r="K43" s="1"/>
      <c r="L43" s="1">
        <v>18.899999999999999</v>
      </c>
      <c r="M43" s="1">
        <v>7.5</v>
      </c>
      <c r="N43" s="1">
        <v>660</v>
      </c>
      <c r="P43">
        <v>0.78300000000000003</v>
      </c>
      <c r="Q43" s="4" t="s">
        <v>3675</v>
      </c>
      <c r="R43" s="3"/>
    </row>
    <row r="44" spans="1:18">
      <c r="A44" s="2"/>
      <c r="B44" s="8"/>
      <c r="D44" s="7"/>
      <c r="E44" s="1">
        <v>7.0000000000000007E-2</v>
      </c>
      <c r="F44" s="1">
        <v>17</v>
      </c>
      <c r="G44" s="1">
        <v>112.5</v>
      </c>
      <c r="H44" s="9">
        <v>-5</v>
      </c>
      <c r="I44" s="9">
        <v>4.4000000000000004</v>
      </c>
      <c r="J44" s="9">
        <v>4</v>
      </c>
      <c r="K44" s="1"/>
      <c r="L44" s="1">
        <v>13.6</v>
      </c>
      <c r="M44" s="1">
        <v>7.5</v>
      </c>
      <c r="N44" s="1">
        <v>660</v>
      </c>
      <c r="P44">
        <v>1.96</v>
      </c>
      <c r="Q44" s="4"/>
      <c r="R44" s="3"/>
    </row>
    <row r="45" spans="1:18">
      <c r="A45" s="2" t="s">
        <v>3867</v>
      </c>
      <c r="B45" s="8" t="s">
        <v>3872</v>
      </c>
      <c r="C45" t="s">
        <v>3873</v>
      </c>
      <c r="D45" s="7" t="s">
        <v>3874</v>
      </c>
      <c r="E45" s="1">
        <v>0.1</v>
      </c>
      <c r="F45" s="1">
        <v>4</v>
      </c>
      <c r="G45" s="1">
        <v>29</v>
      </c>
      <c r="H45" s="9">
        <v>-10</v>
      </c>
      <c r="I45" s="9">
        <v>1.5</v>
      </c>
      <c r="J45" s="9">
        <v>-5</v>
      </c>
      <c r="K45" s="1"/>
      <c r="L45" s="1">
        <v>21</v>
      </c>
      <c r="M45" s="1">
        <v>5</v>
      </c>
      <c r="N45" s="1">
        <v>150</v>
      </c>
      <c r="P45">
        <v>6</v>
      </c>
      <c r="Q45" s="4" t="s">
        <v>3875</v>
      </c>
      <c r="R45" s="3"/>
    </row>
    <row r="46" spans="1:18">
      <c r="A46" s="2"/>
      <c r="B46" s="8"/>
      <c r="D46" s="7"/>
      <c r="E46" s="1">
        <v>0.1</v>
      </c>
      <c r="F46" s="1">
        <v>4</v>
      </c>
      <c r="G46" s="1">
        <v>29</v>
      </c>
      <c r="H46" s="9">
        <v>-10</v>
      </c>
      <c r="I46" s="9">
        <v>1.3</v>
      </c>
      <c r="J46" s="9">
        <v>-5</v>
      </c>
      <c r="K46" s="1"/>
      <c r="L46" s="1">
        <v>21</v>
      </c>
      <c r="M46" s="1">
        <v>5</v>
      </c>
      <c r="N46" s="1">
        <v>150</v>
      </c>
      <c r="P46">
        <v>6</v>
      </c>
      <c r="Q46" s="4"/>
      <c r="R46" s="3"/>
    </row>
    <row r="47" spans="1:18">
      <c r="A47" s="46" t="s">
        <v>3324</v>
      </c>
      <c r="B47" s="46"/>
      <c r="C47" s="46"/>
      <c r="D47" s="46"/>
      <c r="E47" s="46"/>
      <c r="F47" s="46"/>
      <c r="G47" s="46"/>
      <c r="H47" s="46"/>
      <c r="I47" s="46"/>
      <c r="J47" s="46"/>
      <c r="K47" s="46"/>
      <c r="L47" s="46"/>
      <c r="M47" s="46"/>
      <c r="N47" s="46"/>
      <c r="O47" s="46"/>
      <c r="P47" s="46"/>
      <c r="Q47" s="46"/>
    </row>
    <row r="48" spans="1:18">
      <c r="A48" t="s">
        <v>1385</v>
      </c>
      <c r="B48" s="8" t="s">
        <v>1384</v>
      </c>
      <c r="C48" t="s">
        <v>1386</v>
      </c>
      <c r="D48" s="7" t="s">
        <v>1383</v>
      </c>
      <c r="E48" s="1">
        <v>0.1</v>
      </c>
      <c r="F48" s="1">
        <v>0.8</v>
      </c>
      <c r="G48" s="1">
        <v>6.2</v>
      </c>
      <c r="H48">
        <v>-2.2999999999999998</v>
      </c>
      <c r="I48">
        <v>1.6</v>
      </c>
      <c r="J48" s="9">
        <v>2.9</v>
      </c>
      <c r="K48">
        <v>12.8</v>
      </c>
      <c r="L48">
        <v>10.9</v>
      </c>
      <c r="M48">
        <v>4</v>
      </c>
      <c r="N48">
        <v>120</v>
      </c>
      <c r="P48">
        <v>3.875</v>
      </c>
      <c r="Q48" s="4" t="s">
        <v>2612</v>
      </c>
      <c r="R48" s="3" t="s">
        <v>5</v>
      </c>
    </row>
    <row r="49" spans="1:18">
      <c r="A49" t="s">
        <v>1511</v>
      </c>
      <c r="B49" s="8" t="s">
        <v>1513</v>
      </c>
      <c r="C49" t="s">
        <v>1514</v>
      </c>
      <c r="D49" s="7" t="s">
        <v>1512</v>
      </c>
      <c r="E49" s="1">
        <v>0.15</v>
      </c>
      <c r="F49" s="1">
        <v>4</v>
      </c>
      <c r="G49" s="1">
        <v>29</v>
      </c>
      <c r="H49">
        <v>-10</v>
      </c>
      <c r="I49">
        <v>3.8</v>
      </c>
      <c r="L49">
        <v>12</v>
      </c>
      <c r="M49">
        <v>4</v>
      </c>
      <c r="N49">
        <v>280</v>
      </c>
      <c r="P49">
        <v>4.08</v>
      </c>
      <c r="Q49" s="4" t="s">
        <v>2613</v>
      </c>
      <c r="R49" s="3" t="s">
        <v>1100</v>
      </c>
    </row>
    <row r="50" spans="1:18">
      <c r="E50" s="1">
        <v>0.15</v>
      </c>
      <c r="F50" s="1">
        <v>1.4</v>
      </c>
      <c r="G50" s="1">
        <v>27.7</v>
      </c>
      <c r="H50">
        <v>-7</v>
      </c>
      <c r="I50">
        <v>3.7</v>
      </c>
      <c r="L50">
        <v>19.600000000000001</v>
      </c>
      <c r="M50">
        <v>4</v>
      </c>
      <c r="N50">
        <v>560</v>
      </c>
      <c r="P50">
        <v>4.08</v>
      </c>
    </row>
    <row r="51" spans="1:18">
      <c r="A51" t="s">
        <v>1535</v>
      </c>
      <c r="B51" s="8" t="s">
        <v>1534</v>
      </c>
      <c r="C51" t="s">
        <v>1536</v>
      </c>
      <c r="D51" s="7" t="s">
        <v>1533</v>
      </c>
      <c r="E51" s="1">
        <v>0.1</v>
      </c>
      <c r="F51" s="1">
        <v>3.3</v>
      </c>
      <c r="G51" s="1">
        <v>9.65</v>
      </c>
      <c r="H51">
        <v>-10</v>
      </c>
      <c r="I51">
        <v>2</v>
      </c>
      <c r="L51">
        <v>15.7</v>
      </c>
      <c r="M51">
        <v>10</v>
      </c>
      <c r="P51">
        <v>2.86</v>
      </c>
      <c r="Q51" s="4" t="s">
        <v>2614</v>
      </c>
      <c r="R51" s="3" t="s">
        <v>5</v>
      </c>
    </row>
    <row r="52" spans="1:18">
      <c r="A52" t="s">
        <v>1577</v>
      </c>
      <c r="B52" s="8" t="s">
        <v>1575</v>
      </c>
      <c r="C52" t="s">
        <v>1576</v>
      </c>
      <c r="D52" s="7" t="s">
        <v>1574</v>
      </c>
      <c r="E52" s="1">
        <v>0.2</v>
      </c>
      <c r="F52" s="1">
        <v>24</v>
      </c>
      <c r="G52" s="1">
        <v>13</v>
      </c>
      <c r="H52">
        <v>-9</v>
      </c>
      <c r="I52" s="9">
        <v>3.3</v>
      </c>
      <c r="J52" s="9">
        <v>5.5</v>
      </c>
      <c r="K52">
        <v>15.5</v>
      </c>
      <c r="L52">
        <v>13</v>
      </c>
      <c r="M52">
        <v>12</v>
      </c>
      <c r="N52">
        <v>900</v>
      </c>
      <c r="O52">
        <v>0.63</v>
      </c>
      <c r="P52">
        <v>1.44</v>
      </c>
      <c r="Q52" s="4" t="s">
        <v>2615</v>
      </c>
      <c r="R52" s="3" t="s">
        <v>5</v>
      </c>
    </row>
    <row r="53" spans="1:18">
      <c r="A53" t="s">
        <v>1682</v>
      </c>
      <c r="B53" s="8" t="s">
        <v>1680</v>
      </c>
      <c r="C53" t="s">
        <v>1681</v>
      </c>
      <c r="D53" s="7" t="s">
        <v>1679</v>
      </c>
      <c r="E53" s="1">
        <v>0.25</v>
      </c>
      <c r="F53" s="1">
        <v>4</v>
      </c>
      <c r="G53" s="1">
        <v>10</v>
      </c>
      <c r="H53">
        <v>-11</v>
      </c>
      <c r="I53" s="9">
        <v>4.3</v>
      </c>
      <c r="L53">
        <v>21.2</v>
      </c>
      <c r="Q53" s="4" t="s">
        <v>2616</v>
      </c>
      <c r="R53" s="3" t="s">
        <v>5</v>
      </c>
    </row>
    <row r="54" spans="1:18">
      <c r="A54" t="s">
        <v>1778</v>
      </c>
      <c r="B54" s="8" t="s">
        <v>1780</v>
      </c>
      <c r="C54" t="s">
        <v>1781</v>
      </c>
      <c r="D54" s="7" t="s">
        <v>1779</v>
      </c>
      <c r="E54" s="1">
        <v>0.1</v>
      </c>
      <c r="F54" s="1">
        <v>8</v>
      </c>
      <c r="G54" s="1">
        <v>26</v>
      </c>
      <c r="H54">
        <v>-10</v>
      </c>
      <c r="I54">
        <v>0.4</v>
      </c>
      <c r="J54" s="9">
        <v>-0.7</v>
      </c>
      <c r="K54">
        <v>13</v>
      </c>
      <c r="L54">
        <v>22.5</v>
      </c>
      <c r="M54">
        <v>5</v>
      </c>
      <c r="N54">
        <v>210</v>
      </c>
      <c r="P54">
        <v>2.21</v>
      </c>
      <c r="Q54" s="4" t="s">
        <v>2597</v>
      </c>
      <c r="R54" s="3" t="s">
        <v>5</v>
      </c>
    </row>
    <row r="55" spans="1:18">
      <c r="A55" s="82">
        <v>44075</v>
      </c>
      <c r="B55" s="8" t="s">
        <v>2589</v>
      </c>
      <c r="C55" t="s">
        <v>2590</v>
      </c>
      <c r="D55" t="s">
        <v>2591</v>
      </c>
      <c r="E55" s="1">
        <v>0.1</v>
      </c>
      <c r="F55" s="1">
        <v>13</v>
      </c>
      <c r="G55" s="1">
        <v>24.5</v>
      </c>
      <c r="H55" s="1">
        <v>-11</v>
      </c>
      <c r="I55">
        <v>0.8</v>
      </c>
      <c r="J55">
        <f>22-L55</f>
        <v>1.5</v>
      </c>
      <c r="L55">
        <v>20.5</v>
      </c>
      <c r="M55">
        <v>5</v>
      </c>
      <c r="N55">
        <f>M55*82</f>
        <v>410</v>
      </c>
      <c r="P55">
        <v>2.6</v>
      </c>
      <c r="Q55" s="4" t="s">
        <v>2592</v>
      </c>
    </row>
    <row r="56" spans="1:18">
      <c r="A56" s="3" t="s">
        <v>2797</v>
      </c>
      <c r="B56" s="8" t="s">
        <v>2593</v>
      </c>
      <c r="C56" t="s">
        <v>2594</v>
      </c>
      <c r="D56" t="s">
        <v>2595</v>
      </c>
      <c r="E56" s="1">
        <v>0.1</v>
      </c>
      <c r="F56" s="1">
        <f>84-77.8</f>
        <v>6.2000000000000028</v>
      </c>
      <c r="G56">
        <f>(84+77.8)/2</f>
        <v>80.900000000000006</v>
      </c>
      <c r="H56">
        <v>-5</v>
      </c>
      <c r="I56">
        <v>3.8</v>
      </c>
      <c r="J56">
        <f>12-L56</f>
        <v>-8.5</v>
      </c>
      <c r="L56">
        <v>20.5</v>
      </c>
      <c r="N56">
        <v>190</v>
      </c>
      <c r="P56">
        <f>3*1.6</f>
        <v>4.8000000000000007</v>
      </c>
      <c r="Q56" s="4" t="s">
        <v>2596</v>
      </c>
    </row>
    <row r="57" spans="1:18">
      <c r="E57" s="1">
        <v>0.1</v>
      </c>
      <c r="F57" s="1">
        <f>90-78.5</f>
        <v>11.5</v>
      </c>
      <c r="G57">
        <f>(90+78.5)/2</f>
        <v>84.25</v>
      </c>
      <c r="H57">
        <v>-5</v>
      </c>
      <c r="I57">
        <v>4.5</v>
      </c>
      <c r="J57">
        <f>11-L57</f>
        <v>-6</v>
      </c>
      <c r="L57">
        <v>17</v>
      </c>
      <c r="N57">
        <v>190</v>
      </c>
      <c r="P57">
        <f>3*1.4</f>
        <v>4.1999999999999993</v>
      </c>
    </row>
    <row r="58" spans="1:18">
      <c r="A58" s="3" t="s">
        <v>2846</v>
      </c>
      <c r="B58" s="8" t="s">
        <v>2807</v>
      </c>
      <c r="C58" t="s">
        <v>2808</v>
      </c>
      <c r="D58" t="s">
        <v>2809</v>
      </c>
      <c r="E58" s="1">
        <v>0.1</v>
      </c>
      <c r="F58" s="1">
        <v>38</v>
      </c>
      <c r="G58" s="1">
        <v>37</v>
      </c>
      <c r="H58">
        <v>-5</v>
      </c>
      <c r="I58">
        <v>2.2000000000000002</v>
      </c>
      <c r="J58">
        <v>-1.5</v>
      </c>
      <c r="L58">
        <v>21.5</v>
      </c>
      <c r="M58">
        <v>7.5</v>
      </c>
      <c r="N58">
        <v>1400</v>
      </c>
      <c r="P58">
        <v>4.8</v>
      </c>
      <c r="Q58" s="4" t="s">
        <v>2810</v>
      </c>
    </row>
    <row r="59" spans="1:18">
      <c r="A59" s="3" t="s">
        <v>2864</v>
      </c>
      <c r="B59" s="8" t="s">
        <v>2844</v>
      </c>
      <c r="C59" t="s">
        <v>2845</v>
      </c>
      <c r="D59" t="s">
        <v>2847</v>
      </c>
      <c r="E59" s="1">
        <v>0.1</v>
      </c>
      <c r="F59" s="1">
        <v>5</v>
      </c>
      <c r="G59" s="1">
        <v>35.5</v>
      </c>
      <c r="H59" s="1">
        <v>-7</v>
      </c>
      <c r="I59">
        <v>2</v>
      </c>
      <c r="J59">
        <v>-6</v>
      </c>
      <c r="K59">
        <v>2.3999999999999986</v>
      </c>
      <c r="L59">
        <v>26</v>
      </c>
      <c r="M59">
        <v>6</v>
      </c>
      <c r="N59">
        <v>564</v>
      </c>
      <c r="P59">
        <v>5.5</v>
      </c>
    </row>
    <row r="60" spans="1:18">
      <c r="A60" s="3" t="s">
        <v>2943</v>
      </c>
      <c r="B60" s="8" t="s">
        <v>2906</v>
      </c>
      <c r="C60" t="s">
        <v>2907</v>
      </c>
      <c r="D60" t="s">
        <v>2908</v>
      </c>
      <c r="E60" s="1">
        <v>0.09</v>
      </c>
      <c r="F60" s="1">
        <v>8</v>
      </c>
      <c r="G60">
        <v>79</v>
      </c>
      <c r="I60">
        <v>3.5</v>
      </c>
      <c r="L60">
        <v>16.100000000000001</v>
      </c>
      <c r="M60">
        <v>5</v>
      </c>
      <c r="N60">
        <v>200</v>
      </c>
      <c r="P60">
        <v>3.12</v>
      </c>
      <c r="Q60" s="4" t="s">
        <v>2909</v>
      </c>
    </row>
    <row r="61" spans="1:18">
      <c r="E61" s="1">
        <v>0.09</v>
      </c>
      <c r="F61" s="1">
        <v>5</v>
      </c>
      <c r="G61">
        <v>93.5</v>
      </c>
      <c r="H61">
        <v>-9</v>
      </c>
      <c r="I61">
        <v>3.3</v>
      </c>
      <c r="L61">
        <v>19.100000000000001</v>
      </c>
      <c r="M61">
        <v>5</v>
      </c>
      <c r="N61">
        <v>200</v>
      </c>
      <c r="P61">
        <v>3.12</v>
      </c>
    </row>
    <row r="62" spans="1:18">
      <c r="A62" t="s">
        <v>3065</v>
      </c>
      <c r="B62" s="8" t="s">
        <v>2999</v>
      </c>
      <c r="C62" t="s">
        <v>3000</v>
      </c>
      <c r="D62" t="s">
        <v>3001</v>
      </c>
      <c r="E62" s="1">
        <v>0.1</v>
      </c>
      <c r="F62" s="1">
        <v>13</v>
      </c>
      <c r="G62">
        <v>24.5</v>
      </c>
      <c r="H62">
        <v>-4</v>
      </c>
      <c r="I62">
        <v>1.1000000000000001</v>
      </c>
      <c r="J62">
        <v>-2</v>
      </c>
      <c r="L62">
        <v>19.5</v>
      </c>
      <c r="Q62" s="4" t="s">
        <v>3002</v>
      </c>
    </row>
    <row r="63" spans="1:18">
      <c r="A63" t="s">
        <v>3084</v>
      </c>
      <c r="B63" s="8" t="s">
        <v>3105</v>
      </c>
      <c r="C63" t="s">
        <v>3106</v>
      </c>
      <c r="D63" t="s">
        <v>3107</v>
      </c>
      <c r="E63" s="1">
        <v>0.1</v>
      </c>
      <c r="F63" s="1">
        <v>4</v>
      </c>
      <c r="G63">
        <v>29</v>
      </c>
      <c r="H63">
        <v>-12</v>
      </c>
      <c r="I63">
        <v>1.5</v>
      </c>
      <c r="J63">
        <v>-4</v>
      </c>
      <c r="L63">
        <v>20</v>
      </c>
      <c r="M63">
        <v>5</v>
      </c>
      <c r="N63">
        <v>150</v>
      </c>
      <c r="O63">
        <v>3</v>
      </c>
      <c r="Q63" s="4" t="s">
        <v>3108</v>
      </c>
    </row>
    <row r="64" spans="1:18">
      <c r="A64" t="s">
        <v>3306</v>
      </c>
      <c r="B64" s="8" t="s">
        <v>3288</v>
      </c>
      <c r="C64" t="s">
        <v>3289</v>
      </c>
      <c r="D64" t="s">
        <v>3290</v>
      </c>
      <c r="E64" s="1">
        <v>0.15</v>
      </c>
      <c r="F64" s="1">
        <v>6</v>
      </c>
      <c r="G64">
        <v>28</v>
      </c>
      <c r="H64">
        <v>-12</v>
      </c>
      <c r="I64">
        <v>2.4</v>
      </c>
      <c r="J64">
        <v>-6.9</v>
      </c>
      <c r="K64">
        <v>2.5</v>
      </c>
      <c r="L64">
        <v>26</v>
      </c>
      <c r="M64">
        <v>10</v>
      </c>
      <c r="N64">
        <v>300</v>
      </c>
      <c r="P64">
        <v>3</v>
      </c>
      <c r="Q64" s="4" t="s">
        <v>3291</v>
      </c>
    </row>
    <row r="65" spans="1:17">
      <c r="A65" t="s">
        <v>3497</v>
      </c>
      <c r="B65" s="8" t="s">
        <v>3564</v>
      </c>
      <c r="C65" t="s">
        <v>3565</v>
      </c>
      <c r="D65" t="s">
        <v>3566</v>
      </c>
      <c r="E65" s="1">
        <v>0.25</v>
      </c>
      <c r="F65" s="1">
        <v>1.1000000000000001</v>
      </c>
      <c r="G65">
        <v>4.75</v>
      </c>
      <c r="H65">
        <v>-10</v>
      </c>
      <c r="I65">
        <v>2.1</v>
      </c>
      <c r="J65">
        <v>9</v>
      </c>
      <c r="K65">
        <v>12.2</v>
      </c>
      <c r="L65">
        <v>25.5</v>
      </c>
      <c r="M65">
        <v>20</v>
      </c>
      <c r="N65">
        <v>3640</v>
      </c>
      <c r="P65">
        <v>9</v>
      </c>
      <c r="Q65" t="s">
        <v>3567</v>
      </c>
    </row>
    <row r="66" spans="1:17">
      <c r="A66" t="s">
        <v>3078</v>
      </c>
      <c r="B66" s="8" t="s">
        <v>3734</v>
      </c>
      <c r="C66" t="s">
        <v>3735</v>
      </c>
      <c r="D66" t="s">
        <v>3736</v>
      </c>
      <c r="E66" s="1">
        <v>0.06</v>
      </c>
      <c r="F66" s="1">
        <v>25</v>
      </c>
      <c r="G66">
        <v>82.5</v>
      </c>
      <c r="H66">
        <v>-4</v>
      </c>
      <c r="I66">
        <v>2.8</v>
      </c>
      <c r="J66">
        <v>-11</v>
      </c>
      <c r="L66">
        <v>27</v>
      </c>
      <c r="M66">
        <v>5.5</v>
      </c>
      <c r="N66">
        <v>402</v>
      </c>
      <c r="P66">
        <v>1.6739999999999999</v>
      </c>
      <c r="Q66" t="s">
        <v>3737</v>
      </c>
    </row>
    <row r="67" spans="1:17">
      <c r="A67" t="s">
        <v>3760</v>
      </c>
      <c r="B67" s="8" t="s">
        <v>3941</v>
      </c>
      <c r="C67" t="s">
        <v>3942</v>
      </c>
      <c r="D67" t="s">
        <v>3943</v>
      </c>
      <c r="E67" s="1">
        <v>0.1</v>
      </c>
      <c r="F67" s="1">
        <v>11.5</v>
      </c>
      <c r="G67">
        <v>32.25</v>
      </c>
      <c r="H67">
        <v>-7</v>
      </c>
      <c r="I67">
        <v>1.57</v>
      </c>
      <c r="J67">
        <v>-13.4</v>
      </c>
      <c r="L67">
        <v>29.9</v>
      </c>
      <c r="M67">
        <v>5</v>
      </c>
      <c r="N67">
        <v>300</v>
      </c>
      <c r="P67">
        <v>2.5299999999999998</v>
      </c>
      <c r="Q67" t="s">
        <v>3944</v>
      </c>
    </row>
    <row r="68" spans="1:17">
      <c r="A68" t="s">
        <v>3807</v>
      </c>
      <c r="B68" s="8" t="s">
        <v>3945</v>
      </c>
      <c r="C68" t="s">
        <v>3946</v>
      </c>
      <c r="D68" t="s">
        <v>3947</v>
      </c>
      <c r="E68" s="1">
        <v>0.15</v>
      </c>
      <c r="F68" s="1">
        <v>11.4</v>
      </c>
      <c r="G68">
        <v>27.8</v>
      </c>
      <c r="H68">
        <v>-10</v>
      </c>
      <c r="I68">
        <v>2.2000000000000002</v>
      </c>
      <c r="J68">
        <v>-14.7</v>
      </c>
      <c r="K68">
        <v>-5.2</v>
      </c>
      <c r="L68">
        <v>21.2</v>
      </c>
      <c r="M68">
        <v>5</v>
      </c>
      <c r="N68">
        <v>200</v>
      </c>
      <c r="P68">
        <v>3.12</v>
      </c>
      <c r="Q68" t="s">
        <v>3948</v>
      </c>
    </row>
    <row r="69" spans="1:17" ht="17.25">
      <c r="A69" t="s">
        <v>3078</v>
      </c>
      <c r="B69" s="8" t="s">
        <v>4006</v>
      </c>
      <c r="C69" t="s">
        <v>4007</v>
      </c>
      <c r="D69" t="s">
        <v>4008</v>
      </c>
      <c r="E69" s="1">
        <v>7.0000000000000007E-2</v>
      </c>
      <c r="F69" s="1">
        <v>13</v>
      </c>
      <c r="G69">
        <v>33.5</v>
      </c>
      <c r="H69">
        <v>-2</v>
      </c>
      <c r="I69">
        <v>1.3</v>
      </c>
      <c r="J69">
        <v>-17.600000000000001</v>
      </c>
      <c r="L69">
        <v>27.5</v>
      </c>
      <c r="M69">
        <v>5</v>
      </c>
      <c r="N69">
        <v>311</v>
      </c>
      <c r="P69">
        <v>2.5</v>
      </c>
      <c r="Q69" t="s">
        <v>4009</v>
      </c>
    </row>
    <row r="70" spans="1:17">
      <c r="A70" t="s">
        <v>3807</v>
      </c>
      <c r="B70" s="8" t="s">
        <v>4010</v>
      </c>
      <c r="C70" t="s">
        <v>4011</v>
      </c>
      <c r="D70" t="s">
        <v>4012</v>
      </c>
      <c r="E70" s="1">
        <v>0.04</v>
      </c>
      <c r="F70" s="1">
        <v>10</v>
      </c>
      <c r="G70">
        <v>60</v>
      </c>
      <c r="I70">
        <v>1.94</v>
      </c>
      <c r="L70">
        <v>21</v>
      </c>
      <c r="M70">
        <v>6</v>
      </c>
      <c r="N70">
        <v>1200</v>
      </c>
      <c r="P70">
        <v>3.3</v>
      </c>
      <c r="Q70" t="s">
        <v>4013</v>
      </c>
    </row>
    <row r="71" spans="1:17">
      <c r="A71" t="s">
        <v>3078</v>
      </c>
      <c r="B71" s="8" t="s">
        <v>4022</v>
      </c>
      <c r="C71" s="129" t="s">
        <v>4023</v>
      </c>
      <c r="D71" t="s">
        <v>4024</v>
      </c>
      <c r="E71" s="1">
        <v>0.15</v>
      </c>
      <c r="F71" s="1">
        <v>20</v>
      </c>
      <c r="G71">
        <v>20</v>
      </c>
      <c r="H71">
        <v>-9</v>
      </c>
      <c r="I71">
        <v>2.1</v>
      </c>
      <c r="J71">
        <v>-6.4</v>
      </c>
      <c r="K71">
        <v>2.6</v>
      </c>
      <c r="L71">
        <v>28.1</v>
      </c>
      <c r="M71">
        <v>10</v>
      </c>
      <c r="N71">
        <v>600</v>
      </c>
      <c r="P71">
        <v>4.32</v>
      </c>
      <c r="Q71" t="s">
        <v>4025</v>
      </c>
    </row>
  </sheetData>
  <hyperlinks>
    <hyperlink ref="Q3" r:id="rId1" xr:uid="{00000000-0004-0000-0600-000000000000}"/>
    <hyperlink ref="Q4" r:id="rId2" xr:uid="{00000000-0004-0000-0600-000001000000}"/>
    <hyperlink ref="Q7" r:id="rId3" xr:uid="{00000000-0004-0000-0600-000002000000}"/>
    <hyperlink ref="Q8" r:id="rId4" xr:uid="{00000000-0004-0000-0600-000003000000}"/>
    <hyperlink ref="Q15" r:id="rId5" xr:uid="{00000000-0004-0000-0600-000004000000}"/>
    <hyperlink ref="Q20" r:id="rId6" display="https://ieeexplore-ieee-org.ezproxy.lib.ucalgary.ca/stamp/stamp.jsp?tp=&amp;arnumber=6242326" xr:uid="{00000000-0004-0000-0600-000005000000}"/>
    <hyperlink ref="Q23" r:id="rId7" display="https://ieeexplore-ieee-org.ezproxy.lib.ucalgary.ca/stamp/stamp.jsp?tp=&amp;arnumber=1339093" xr:uid="{00000000-0004-0000-0600-000006000000}"/>
    <hyperlink ref="Q24" r:id="rId8" display="https://ieeexplore-ieee-org.ezproxy.lib.ucalgary.ca/stamp/stamp.jsp?tp=&amp;arnumber=4015328" xr:uid="{00000000-0004-0000-0600-000007000000}"/>
    <hyperlink ref="Q25" r:id="rId9" display="https://ieeexplore-ieee-org.ezproxy.lib.ucalgary.ca/stamp/stamp.jsp?tp=&amp;arnumber=5165813" xr:uid="{00000000-0004-0000-0600-000008000000}"/>
    <hyperlink ref="Q26" r:id="rId10" display="https://ieeexplore-ieee-org.ezproxy.lib.ucalgary.ca/stamp/stamp.jsp?tp=&amp;arnumber=5165785" xr:uid="{00000000-0004-0000-0600-000009000000}"/>
    <hyperlink ref="Q28" r:id="rId11" display="https://ieeexplore-ieee-org.ezproxy.lib.ucalgary.ca/stamp/stamp.jsp?tp=&amp;arnumber=5518253" xr:uid="{00000000-0004-0000-0600-00000A000000}"/>
    <hyperlink ref="Q29" r:id="rId12" display="https://ieeexplore-ieee-org.ezproxy.lib.ucalgary.ca/stamp/stamp.jsp?tp=&amp;arnumber=5972761" xr:uid="{00000000-0004-0000-0600-00000B000000}"/>
    <hyperlink ref="Q30" r:id="rId13" display="https://ieeexplore-ieee-org.ezproxy.lib.ucalgary.ca/stamp/stamp.jsp?tp=&amp;arnumber=6259470" xr:uid="{00000000-0004-0000-0600-00000C000000}"/>
    <hyperlink ref="Q31" r:id="rId14" display="https://ieeexplore-ieee-org.ezproxy.lib.ucalgary.ca/stamp/stamp.jsp?tp=&amp;arnumber=6259764" xr:uid="{00000000-0004-0000-0600-00000D000000}"/>
    <hyperlink ref="Q32" r:id="rId15" display="https://ieeexplore-ieee-org.ezproxy.lib.ucalgary.ca/stamp/stamp.jsp?tp=&amp;arnumber=6697551" xr:uid="{00000000-0004-0000-0600-00000E000000}"/>
    <hyperlink ref="Q34" r:id="rId16" display="https://ieeexplore-ieee-org.ezproxy.lib.ucalgary.ca/stamp/stamp.jsp?tp=&amp;arnumber=7166766" xr:uid="{00000000-0004-0000-0600-00000F000000}"/>
    <hyperlink ref="Q35" r:id="rId17" display="https://ieeexplore-ieee-org.ezproxy.lib.ucalgary.ca/stamp/stamp.jsp?tp=&amp;arnumber=7540307" xr:uid="{00000000-0004-0000-0600-000010000000}"/>
    <hyperlink ref="Q36" r:id="rId18" display="https://ieeexplore-ieee-org.ezproxy.lib.ucalgary.ca/stamp/stamp.jsp?tp=&amp;arnumber=8058796" xr:uid="{00000000-0004-0000-0600-000011000000}"/>
    <hyperlink ref="Q38" r:id="rId19" display="https://ieeexplore-ieee-org.ezproxy.lib.ucalgary.ca/stamp/stamp.jsp?tp=&amp;arnumber=8439698" xr:uid="{00000000-0004-0000-0600-000012000000}"/>
    <hyperlink ref="Q48" r:id="rId20" display="https://ieeexplore-ieee-org.ezproxy.lib.ucalgary.ca/stamp/stamp.jsp?tp=&amp;arnumber=1303660" xr:uid="{00000000-0004-0000-0600-000013000000}"/>
    <hyperlink ref="Q49" r:id="rId21" display="https://ieeexplore-ieee-org.ezproxy.lib.ucalgary.ca/stamp/stamp.jsp?tp=&amp;arnumber=4804612" xr:uid="{00000000-0004-0000-0600-000014000000}"/>
    <hyperlink ref="Q51" r:id="rId22" display="https://ieeexplore-ieee-org.ezproxy.lib.ucalgary.ca/stamp/stamp.jsp?tp=&amp;arnumber=5339110" xr:uid="{00000000-0004-0000-0600-000015000000}"/>
    <hyperlink ref="Q52" r:id="rId23" display="https://ieeexplore-ieee-org.ezproxy.lib.ucalgary.ca/stamp/stamp.jsp?tp=&amp;arnumber=5557753" xr:uid="{00000000-0004-0000-0600-000016000000}"/>
    <hyperlink ref="Q53" r:id="rId24" display="https://ieeexplore-ieee-org.ezproxy.lib.ucalgary.ca/stamp/stamp.jsp?tp=&amp;arnumber=6910321" xr:uid="{00000000-0004-0000-0600-000017000000}"/>
    <hyperlink ref="Q54" r:id="rId25" xr:uid="{00000000-0004-0000-0600-000018000000}"/>
    <hyperlink ref="Q55" r:id="rId26" xr:uid="{00000000-0004-0000-0600-000019000000}"/>
    <hyperlink ref="Q56" r:id="rId27" xr:uid="{00000000-0004-0000-0600-00001A000000}"/>
    <hyperlink ref="Q58" r:id="rId28" xr:uid="{00000000-0004-0000-0600-00001B000000}"/>
    <hyperlink ref="Q60" r:id="rId29" xr:uid="{00000000-0004-0000-0600-00001C000000}"/>
    <hyperlink ref="Q62" r:id="rId30" xr:uid="{00000000-0004-0000-0600-00001D000000}"/>
    <hyperlink ref="Q39" r:id="rId31" xr:uid="{00000000-0004-0000-0600-00001E000000}"/>
    <hyperlink ref="Q40" r:id="rId32" xr:uid="{00000000-0004-0000-0600-00001F000000}"/>
    <hyperlink ref="Q9" r:id="rId33" xr:uid="{1771DC83-0F25-466E-9305-24DFF1D4C4E0}"/>
    <hyperlink ref="Q63" r:id="rId34" xr:uid="{72A45CBE-9FF8-4F03-BD7B-2AEA8CEB4E6C}"/>
    <hyperlink ref="Q41" r:id="rId35" xr:uid="{12D58FF7-5D01-4EBF-85A6-F731663CBDB7}"/>
    <hyperlink ref="Q64" r:id="rId36" xr:uid="{8F4E38A5-651A-4F8D-AA45-07A4278A935B}"/>
    <hyperlink ref="Q17" r:id="rId37" xr:uid="{F0D2C878-0849-4F72-B671-110B18961919}"/>
  </hyperlinks>
  <pageMargins left="0.7" right="0.7" top="0.75" bottom="0.75" header="0.3" footer="0.3"/>
  <pageSetup orientation="portrait" r:id="rId38"/>
  <legacyDrawing r:id="rId3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570"/>
  <sheetViews>
    <sheetView workbookViewId="0">
      <selection activeCell="A29" sqref="A29"/>
    </sheetView>
  </sheetViews>
  <sheetFormatPr defaultRowHeight="15"/>
  <cols>
    <col min="1" max="1" width="16.28515625" bestFit="1" customWidth="1"/>
    <col min="2" max="2" width="16.140625" customWidth="1"/>
    <col min="12" max="12" width="14.85546875" bestFit="1" customWidth="1"/>
    <col min="16" max="16" width="11.5703125" bestFit="1" customWidth="1"/>
  </cols>
  <sheetData>
    <row r="1" spans="1:25">
      <c r="A1" s="70"/>
    </row>
    <row r="2" spans="1:25">
      <c r="E2" s="71"/>
      <c r="F2" s="71" t="s">
        <v>2427</v>
      </c>
      <c r="G2" s="71" t="s">
        <v>2424</v>
      </c>
      <c r="H2" s="71" t="s">
        <v>2425</v>
      </c>
      <c r="I2" s="71" t="s">
        <v>2426</v>
      </c>
      <c r="J2" s="71" t="s">
        <v>2420</v>
      </c>
      <c r="L2" s="72"/>
      <c r="M2" s="72" t="str">
        <f>F2</f>
        <v>Pdc (mW)</v>
      </c>
      <c r="N2" s="72" t="str">
        <f>G2</f>
        <v>L(nm)</v>
      </c>
      <c r="O2" s="72" t="str">
        <f>H2</f>
        <v>Tcas (K)</v>
      </c>
      <c r="P2" s="72" t="s">
        <v>2429</v>
      </c>
      <c r="Q2" s="72" t="str">
        <f>J2</f>
        <v>Offset</v>
      </c>
    </row>
    <row r="3" spans="1:25" ht="30">
      <c r="A3" t="str">
        <f>CMOS!G1</f>
        <v>Center Freq(Ghz)</v>
      </c>
      <c r="B3" s="63" t="s">
        <v>2431</v>
      </c>
      <c r="E3" s="71" t="s">
        <v>2419</v>
      </c>
      <c r="F3" s="71">
        <v>0.12307249697471971</v>
      </c>
      <c r="G3" s="71">
        <v>-0.36885188951154163</v>
      </c>
      <c r="H3" s="71">
        <v>0.44302929656991863</v>
      </c>
      <c r="I3" s="71">
        <v>13.762093197882994</v>
      </c>
      <c r="J3" s="71">
        <v>-14.205138204217636</v>
      </c>
      <c r="L3" s="75" t="s">
        <v>2423</v>
      </c>
      <c r="M3" s="72">
        <f>-ROUND(F3*P3,1)</f>
        <v>-0.2</v>
      </c>
      <c r="N3" s="72">
        <f>-ROUND(G3*P3,1)</f>
        <v>0.7</v>
      </c>
      <c r="O3" s="72">
        <f>-ROUND(H3*P3,1)</f>
        <v>-0.9</v>
      </c>
      <c r="P3" s="72">
        <v>2</v>
      </c>
      <c r="Q3" s="72">
        <f>-ROUND(J3,1)</f>
        <v>14.2</v>
      </c>
      <c r="Y3" t="s">
        <v>2430</v>
      </c>
    </row>
    <row r="4" spans="1:25">
      <c r="L4" s="90" t="s">
        <v>2911</v>
      </c>
      <c r="M4" s="89"/>
      <c r="N4" s="89"/>
      <c r="O4" s="89"/>
      <c r="P4" s="89"/>
      <c r="Q4" s="89"/>
    </row>
    <row r="5" spans="1:25" ht="17.25">
      <c r="A5">
        <f>IF(Y5,CMOS!G3,"")</f>
        <v>0.9</v>
      </c>
      <c r="B5">
        <f>IF(Y5,$I$3*CMOS!N3^$F$3*(1000*CMOS!E3)^$G$3*CMOS!R3^$H$3+$J$3,"")</f>
        <v>1.6644497897672821</v>
      </c>
      <c r="E5" s="74" t="s">
        <v>2428</v>
      </c>
      <c r="F5" s="74">
        <f>RSQ(A5:A4858,B5:B4858)</f>
        <v>0.61506241359411695</v>
      </c>
      <c r="G5" s="74" t="s">
        <v>2421</v>
      </c>
      <c r="H5" s="74" t="s">
        <v>2432</v>
      </c>
      <c r="Y5" t="b">
        <f>IF(OR(CMOS!N3="",CMOS!R3="",CMOS!E3=""),FALSE,TRUE)</f>
        <v>1</v>
      </c>
    </row>
    <row r="6" spans="1:25">
      <c r="A6">
        <f>IF(Y6,CMOS!G4,"")</f>
        <v>5.25</v>
      </c>
      <c r="B6">
        <f>IF(Y6,$I$3*CMOS!N4^$F$3*(1000*CMOS!E4)^$G$3*CMOS!R4^$H$3+$J$3,"")</f>
        <v>8.8048560026003209</v>
      </c>
      <c r="Y6" t="b">
        <f>IF(OR(CMOS!N4="",CMOS!R4="",CMOS!E4=""),FALSE,TRUE)</f>
        <v>1</v>
      </c>
    </row>
    <row r="7" spans="1:25">
      <c r="A7">
        <f>IF(Y7,CMOS!G5,"")</f>
        <v>5.25</v>
      </c>
      <c r="B7">
        <f>IF(Y7,$I$3*CMOS!N5^$F$3*(1000*CMOS!E5)^$G$3*CMOS!R5^$H$3+$J$3,"")</f>
        <v>8.7444298717354521</v>
      </c>
      <c r="Y7" t="b">
        <f>IF(OR(CMOS!N5="",CMOS!R5="",CMOS!E5=""),FALSE,TRUE)</f>
        <v>1</v>
      </c>
    </row>
    <row r="8" spans="1:25">
      <c r="A8">
        <f>IF(Y8,CMOS!G6,"")</f>
        <v>0.9</v>
      </c>
      <c r="B8">
        <f>IF(Y8,$I$3*CMOS!N6^$F$3*(1000*CMOS!E6)^$G$3*CMOS!R6^$H$3+$J$3,"")</f>
        <v>9.3660027935817887</v>
      </c>
      <c r="E8" s="73" t="s">
        <v>2422</v>
      </c>
      <c r="Y8" t="b">
        <f>IF(OR(CMOS!N6="",CMOS!R6="",CMOS!E6=""),FALSE,TRUE)</f>
        <v>1</v>
      </c>
    </row>
    <row r="9" spans="1:25">
      <c r="A9">
        <f>IF(Y9,CMOS!G7,"")</f>
        <v>5.2</v>
      </c>
      <c r="B9">
        <f>IF(Y9,$I$3*CMOS!N7^$F$3*(1000*CMOS!E7)^$G$3*CMOS!R7^$H$3+$J$3,"")</f>
        <v>16.523614251291932</v>
      </c>
      <c r="E9" s="74" t="s">
        <v>2914</v>
      </c>
      <c r="Y9" t="b">
        <f>IF(OR(CMOS!N7="",CMOS!R7="",CMOS!E7=""),FALSE,TRUE)</f>
        <v>1</v>
      </c>
    </row>
    <row r="10" spans="1:25">
      <c r="A10">
        <f>IF(Y10,CMOS!G8,"")</f>
        <v>5.2</v>
      </c>
      <c r="B10">
        <f>IF(Y10,$I$3*CMOS!N8^$F$3*(1000*CMOS!E8)^$G$3*CMOS!R8^$H$3+$J$3,"")</f>
        <v>10.953181579745944</v>
      </c>
      <c r="E10" s="74" t="s">
        <v>2915</v>
      </c>
      <c r="Y10" t="b">
        <f>IF(OR(CMOS!N8="",CMOS!R8="",CMOS!E8=""),FALSE,TRUE)</f>
        <v>1</v>
      </c>
    </row>
    <row r="11" spans="1:25">
      <c r="A11">
        <f>IF(Y11,CMOS!G9,"")</f>
        <v>2.14</v>
      </c>
      <c r="B11">
        <f>IF(Y11,$I$3*CMOS!N9^$F$3*(1000*CMOS!E9)^$G$3*CMOS!R9^$H$3+$J$3,"")</f>
        <v>9.2684018692483541</v>
      </c>
      <c r="Y11" t="b">
        <f>IF(OR(CMOS!N9="",CMOS!R9="",CMOS!E9=""),FALSE,TRUE)</f>
        <v>1</v>
      </c>
    </row>
    <row r="12" spans="1:25">
      <c r="A12">
        <f>IF(Y12,CMOS!G10,"")</f>
        <v>2</v>
      </c>
      <c r="B12">
        <f>IF(Y12,$I$3*CMOS!N10^$F$3*(1000*CMOS!E10)^$G$3*CMOS!R10^$H$3+$J$3,"")</f>
        <v>11.563850824327378</v>
      </c>
      <c r="Y12" t="b">
        <f>IF(OR(CMOS!N10="",CMOS!R10="",CMOS!E10=""),FALSE,TRUE)</f>
        <v>1</v>
      </c>
    </row>
    <row r="13" spans="1:25">
      <c r="A13">
        <f>IF(Y13,CMOS!G11,"")</f>
        <v>5.8</v>
      </c>
      <c r="B13">
        <f>IF(Y13,$I$3*CMOS!N11^$F$3*(1000*CMOS!E11)^$G$3*CMOS!R11^$H$3+$J$3,"")</f>
        <v>19.226631175082208</v>
      </c>
      <c r="Y13" t="b">
        <f>IF(OR(CMOS!N11="",CMOS!R11="",CMOS!E11=""),FALSE,TRUE)</f>
        <v>1</v>
      </c>
    </row>
    <row r="14" spans="1:25">
      <c r="A14">
        <f>IF(Y14,CMOS!G12,"")</f>
        <v>5.5</v>
      </c>
      <c r="B14">
        <f>IF(Y14,$I$3*CMOS!N12^$F$3*(1000*CMOS!E12)^$G$3*CMOS!R12^$H$3+$J$3,"")</f>
        <v>14.304608343143656</v>
      </c>
      <c r="Y14" t="b">
        <f>IF(OR(CMOS!N12="",CMOS!R12="",CMOS!E12=""),FALSE,TRUE)</f>
        <v>1</v>
      </c>
    </row>
    <row r="15" spans="1:25">
      <c r="A15">
        <f>IF(Y15,CMOS!G13,"")</f>
        <v>5.5</v>
      </c>
      <c r="B15">
        <f>IF(Y15,$I$3*CMOS!N13^$F$3*(1000*CMOS!E13)^$G$3*CMOS!R13^$H$3+$J$3,"")</f>
        <v>10.742801678202291</v>
      </c>
      <c r="Y15" t="b">
        <f>IF(OR(CMOS!N13="",CMOS!R13="",CMOS!E13=""),FALSE,TRUE)</f>
        <v>1</v>
      </c>
    </row>
    <row r="16" spans="1:25">
      <c r="A16">
        <f>IF(Y16,CMOS!G14,"")</f>
        <v>10.35</v>
      </c>
      <c r="B16">
        <f>IF(Y16,$I$3*CMOS!N14^$F$3*(1000*CMOS!E14)^$G$3*CMOS!R14^$H$3+$J$3,"")</f>
        <v>21.780002814754337</v>
      </c>
      <c r="Y16" t="b">
        <f>IF(OR(CMOS!N14="",CMOS!R14="",CMOS!E14=""),FALSE,TRUE)</f>
        <v>1</v>
      </c>
    </row>
    <row r="17" spans="1:25">
      <c r="A17">
        <f>IF(Y17,CMOS!G15,"")</f>
        <v>0.9</v>
      </c>
      <c r="B17">
        <f>IF(Y17,$I$3*CMOS!N15^$F$3*(1000*CMOS!E15)^$G$3*CMOS!R15^$H$3+$J$3,"")</f>
        <v>15.183201378858229</v>
      </c>
      <c r="Y17" t="b">
        <f>IF(OR(CMOS!N15="",CMOS!R15="",CMOS!E15=""),FALSE,TRUE)</f>
        <v>1</v>
      </c>
    </row>
    <row r="18" spans="1:25">
      <c r="A18">
        <f>IF(Y18,CMOS!G16,"")</f>
        <v>5</v>
      </c>
      <c r="B18">
        <f>IF(Y18,$I$3*CMOS!N16^$F$3*(1000*CMOS!E16)^$G$3*CMOS!R16^$H$3+$J$3,"")</f>
        <v>19.819966427542372</v>
      </c>
      <c r="Y18" t="b">
        <f>IF(OR(CMOS!N16="",CMOS!R16="",CMOS!E16=""),FALSE,TRUE)</f>
        <v>1</v>
      </c>
    </row>
    <row r="19" spans="1:25">
      <c r="A19">
        <f>IF(Y19,CMOS!G17,"")</f>
        <v>5.8</v>
      </c>
      <c r="B19">
        <f>IF(Y19,$I$3*CMOS!N17^$F$3*(1000*CMOS!E17)^$G$3*CMOS!R17^$H$3+$J$3,"")</f>
        <v>32.816165789884522</v>
      </c>
      <c r="Y19" t="b">
        <f>IF(OR(CMOS!N17="",CMOS!R17="",CMOS!E17=""),FALSE,TRUE)</f>
        <v>1</v>
      </c>
    </row>
    <row r="20" spans="1:25">
      <c r="A20">
        <f>IF(Y20,CMOS!G18,"")</f>
        <v>2.4</v>
      </c>
      <c r="B20">
        <f>IF(Y20,$I$3*CMOS!N18^$F$3*(1000*CMOS!E18)^$G$3*CMOS!R18^$H$3+$J$3,"")</f>
        <v>26.432757942586722</v>
      </c>
      <c r="Y20" t="b">
        <f>IF(OR(CMOS!N18="",CMOS!R18="",CMOS!E18=""),FALSE,TRUE)</f>
        <v>1</v>
      </c>
    </row>
    <row r="21" spans="1:25">
      <c r="A21" t="str">
        <f>IF(Y21,CMOS!G19,"")</f>
        <v/>
      </c>
      <c r="B21" t="str">
        <f>IF(Y21,$I$3*CMOS!N19^$F$3*(1000*CMOS!E19)^$G$3*CMOS!R19^$H$3+$J$3,"")</f>
        <v/>
      </c>
      <c r="Y21" t="b">
        <f>IF(OR(CMOS!N19="",CMOS!R19="",CMOS!E19=""),FALSE,TRUE)</f>
        <v>0</v>
      </c>
    </row>
    <row r="22" spans="1:25">
      <c r="A22">
        <f>IF(Y22,CMOS!G20,"")</f>
        <v>2.75</v>
      </c>
      <c r="B22">
        <f>IF(Y22,$I$3*CMOS!N20^$F$3*(1000*CMOS!E20)^$G$3*CMOS!R20^$H$3+$J$3,"")</f>
        <v>23.266165723735835</v>
      </c>
      <c r="Y22" t="b">
        <f>IF(OR(CMOS!N20="",CMOS!R20="",CMOS!E20=""),FALSE,TRUE)</f>
        <v>1</v>
      </c>
    </row>
    <row r="23" spans="1:25">
      <c r="A23">
        <f>IF(Y23,CMOS!G21,"")</f>
        <v>6</v>
      </c>
      <c r="B23">
        <f>IF(Y23,$I$3*CMOS!N21^$F$3*(1000*CMOS!E21)^$G$3*CMOS!R21^$H$3+$J$3,"")</f>
        <v>19.283433656852683</v>
      </c>
      <c r="Y23" t="b">
        <f>IF(OR(CMOS!N21="",CMOS!R21="",CMOS!E21=""),FALSE,TRUE)</f>
        <v>1</v>
      </c>
    </row>
    <row r="24" spans="1:25">
      <c r="A24">
        <f>IF(Y24,CMOS!G22,"")</f>
        <v>4.5999999999999996</v>
      </c>
      <c r="B24">
        <f>IF(Y24,$I$3*CMOS!N22^$F$3*(1000*CMOS!E22)^$G$3*CMOS!R22^$H$3+$J$3,"")</f>
        <v>46.496831083911388</v>
      </c>
      <c r="Y24" t="b">
        <f>IF(OR(CMOS!N22="",CMOS!R22="",CMOS!E22=""),FALSE,TRUE)</f>
        <v>1</v>
      </c>
    </row>
    <row r="25" spans="1:25">
      <c r="A25">
        <f>IF(Y25,CMOS!G23,"")</f>
        <v>1.7</v>
      </c>
      <c r="B25">
        <f>IF(Y25,$I$3*CMOS!N23^$F$3*(1000*CMOS!E23)^$G$3*CMOS!R23^$H$3+$J$3,"")</f>
        <v>21.50857829240093</v>
      </c>
      <c r="Y25" t="b">
        <f>IF(OR(CMOS!N23="",CMOS!R23="",CMOS!E23=""),FALSE,TRUE)</f>
        <v>1</v>
      </c>
    </row>
    <row r="26" spans="1:25">
      <c r="A26">
        <f>IF(Y26,CMOS!G24,"")</f>
        <v>5.25</v>
      </c>
      <c r="B26">
        <f>IF(Y26,$I$3*CMOS!N24^$F$3*(1000*CMOS!E24)^$G$3*CMOS!R24^$H$3+$J$3,"")</f>
        <v>14.159346926827652</v>
      </c>
      <c r="Y26" t="b">
        <f>IF(OR(CMOS!N24="",CMOS!R24="",CMOS!E24=""),FALSE,TRUE)</f>
        <v>1</v>
      </c>
    </row>
    <row r="27" spans="1:25">
      <c r="A27">
        <f>IF(Y27,CMOS!G25,"")</f>
        <v>5.05</v>
      </c>
      <c r="B27">
        <f>IF(Y27,$I$3*CMOS!N25^$F$3*(1000*CMOS!E25)^$G$3*CMOS!R25^$H$3+$J$3,"")</f>
        <v>16.424324340264171</v>
      </c>
      <c r="Y27" t="b">
        <f>IF(OR(CMOS!N25="",CMOS!R25="",CMOS!E25=""),FALSE,TRUE)</f>
        <v>1</v>
      </c>
    </row>
    <row r="28" spans="1:25">
      <c r="A28">
        <f>IF(Y28,CMOS!G26,"")</f>
        <v>4.9000000000000004</v>
      </c>
      <c r="B28">
        <f>IF(Y28,$I$3*CMOS!N26^$F$3*(1000*CMOS!E26)^$G$3*CMOS!R26^$H$3+$J$3,"")</f>
        <v>14.117514661512637</v>
      </c>
      <c r="Y28" t="b">
        <f>IF(OR(CMOS!N26="",CMOS!R26="",CMOS!E26=""),FALSE,TRUE)</f>
        <v>1</v>
      </c>
    </row>
    <row r="29" spans="1:25">
      <c r="A29">
        <f>IF(Y29,CMOS!G27,"")</f>
        <v>58.5</v>
      </c>
      <c r="B29">
        <f>IF(Y29,$I$3*CMOS!N27^$F$3*(1000*CMOS!E27)^$G$3*CMOS!R27^$H$3+$J$3,"")</f>
        <v>92.251800958128868</v>
      </c>
      <c r="Y29" t="b">
        <f>IF(OR(CMOS!N27="",CMOS!R27="",CMOS!E27=""),FALSE,TRUE)</f>
        <v>1</v>
      </c>
    </row>
    <row r="30" spans="1:25">
      <c r="A30">
        <f>IF(Y30,CMOS!G28,"")</f>
        <v>2.15</v>
      </c>
      <c r="B30">
        <f>IF(Y30,$I$3*CMOS!N28^$F$3*(1000*CMOS!E28)^$G$3*CMOS!R28^$H$3+$J$3,"")</f>
        <v>27.958880754041086</v>
      </c>
      <c r="Y30" t="b">
        <f>IF(OR(CMOS!N28="",CMOS!R28="",CMOS!E28=""),FALSE,TRUE)</f>
        <v>1</v>
      </c>
    </row>
    <row r="31" spans="1:25">
      <c r="A31">
        <f>IF(Y31,CMOS!G29,"")</f>
        <v>5</v>
      </c>
      <c r="B31">
        <f>IF(Y31,$I$3*CMOS!N29^$F$3*(1000*CMOS!E29)^$G$3*CMOS!R29^$H$3+$J$3,"")</f>
        <v>19.08185184759289</v>
      </c>
      <c r="Y31" t="b">
        <f>IF(OR(CMOS!N29="",CMOS!R29="",CMOS!E29=""),FALSE,TRUE)</f>
        <v>1</v>
      </c>
    </row>
    <row r="32" spans="1:25">
      <c r="A32">
        <f>IF(Y32,CMOS!G30,"")</f>
        <v>5</v>
      </c>
      <c r="B32">
        <f>IF(Y32,$I$3*CMOS!N30^$F$3*(1000*CMOS!E30)^$G$3*CMOS!R30^$H$3+$J$3,"")</f>
        <v>19.950359825127837</v>
      </c>
      <c r="Y32" t="b">
        <f>IF(OR(CMOS!N30="",CMOS!R30="",CMOS!E30=""),FALSE,TRUE)</f>
        <v>1</v>
      </c>
    </row>
    <row r="33" spans="1:25">
      <c r="A33">
        <f>IF(Y33,CMOS!G31,"")</f>
        <v>40</v>
      </c>
      <c r="B33">
        <f>IF(Y33,$I$3*CMOS!N31^$F$3*(1000*CMOS!E31)^$G$3*CMOS!R31^$H$3+$J$3,"")</f>
        <v>63.429598898110129</v>
      </c>
      <c r="Y33" t="b">
        <f>IF(OR(CMOS!N31="",CMOS!R31="",CMOS!E31=""),FALSE,TRUE)</f>
        <v>1</v>
      </c>
    </row>
    <row r="34" spans="1:25">
      <c r="A34">
        <f>IF(Y34,CMOS!G32,"")</f>
        <v>25.5</v>
      </c>
      <c r="B34">
        <f>IF(Y34,$I$3*CMOS!N32^$F$3*(1000*CMOS!E32)^$G$3*CMOS!R32^$H$3+$J$3,"")</f>
        <v>31.544718609073652</v>
      </c>
      <c r="Y34" t="b">
        <f>IF(OR(CMOS!N32="",CMOS!R32="",CMOS!E32=""),FALSE,TRUE)</f>
        <v>1</v>
      </c>
    </row>
    <row r="35" spans="1:25">
      <c r="A35">
        <f>IF(Y35,CMOS!G33,"")</f>
        <v>15.25</v>
      </c>
      <c r="B35">
        <f>IF(Y35,$I$3*CMOS!N33^$F$3*(1000*CMOS!E33)^$G$3*CMOS!R33^$H$3+$J$3,"")</f>
        <v>31.955110479994193</v>
      </c>
      <c r="Y35" t="b">
        <f>IF(OR(CMOS!N33="",CMOS!R33="",CMOS!E33=""),FALSE,TRUE)</f>
        <v>1</v>
      </c>
    </row>
    <row r="36" spans="1:25">
      <c r="A36">
        <f>IF(Y36,CMOS!G34,"")</f>
        <v>0.52400000000000002</v>
      </c>
      <c r="B36">
        <f>IF(Y36,$I$3*CMOS!N34^$F$3*(1000*CMOS!E34)^$G$3*CMOS!R34^$H$3+$J$3,"")</f>
        <v>19.444219062619236</v>
      </c>
      <c r="Y36" t="b">
        <f>IF(OR(CMOS!N34="",CMOS!R34="",CMOS!E34=""),FALSE,TRUE)</f>
        <v>1</v>
      </c>
    </row>
    <row r="37" spans="1:25">
      <c r="A37">
        <f>IF(Y37,CMOS!G35,"")</f>
        <v>51.375</v>
      </c>
      <c r="B37">
        <f>IF(Y37,$I$3*CMOS!N35^$F$3*(1000*CMOS!E35)^$G$3*CMOS!R35^$H$3+$J$3,"")</f>
        <v>49.46237380306178</v>
      </c>
      <c r="Y37" t="b">
        <f>IF(OR(CMOS!N35="",CMOS!R35="",CMOS!E35=""),FALSE,TRUE)</f>
        <v>1</v>
      </c>
    </row>
    <row r="38" spans="1:25">
      <c r="A38">
        <f>IF(Y38,CMOS!G36,"")</f>
        <v>39</v>
      </c>
      <c r="B38">
        <f>IF(Y38,$I$3*CMOS!N36^$F$3*(1000*CMOS!E36)^$G$3*CMOS!R36^$H$3+$J$3,"")</f>
        <v>35.189536248481787</v>
      </c>
      <c r="Y38" t="b">
        <f>IF(OR(CMOS!N36="",CMOS!R36="",CMOS!E36=""),FALSE,TRUE)</f>
        <v>1</v>
      </c>
    </row>
    <row r="39" spans="1:25">
      <c r="A39">
        <f>IF(Y39,CMOS!G37,"")</f>
        <v>1.95</v>
      </c>
      <c r="B39">
        <f>IF(Y39,$I$3*CMOS!N37^$F$3*(1000*CMOS!E37)^$G$3*CMOS!R37^$H$3+$J$3,"")</f>
        <v>33.460299179351594</v>
      </c>
      <c r="Y39" t="b">
        <f>IF(OR(CMOS!N37="",CMOS!R37="",CMOS!E37=""),FALSE,TRUE)</f>
        <v>1</v>
      </c>
    </row>
    <row r="40" spans="1:25">
      <c r="A40">
        <f>IF(Y40,CMOS!G38,"")</f>
        <v>4</v>
      </c>
      <c r="B40">
        <f>IF(Y40,$I$3*CMOS!N38^$F$3*(1000*CMOS!E38)^$G$3*CMOS!R38^$H$3+$J$3,"")</f>
        <v>19.32372802201267</v>
      </c>
      <c r="Y40" t="b">
        <f>IF(OR(CMOS!N38="",CMOS!R38="",CMOS!E38=""),FALSE,TRUE)</f>
        <v>1</v>
      </c>
    </row>
    <row r="41" spans="1:25">
      <c r="A41">
        <f>IF(Y41,CMOS!G39,"")</f>
        <v>3.9</v>
      </c>
      <c r="B41">
        <f>IF(Y41,$I$3*CMOS!N39^$F$3*(1000*CMOS!E39)^$G$3*CMOS!R39^$H$3+$J$3,"")</f>
        <v>19.767875815494367</v>
      </c>
      <c r="Y41" t="b">
        <f>IF(OR(CMOS!N39="",CMOS!R39="",CMOS!E39=""),FALSE,TRUE)</f>
        <v>1</v>
      </c>
    </row>
    <row r="42" spans="1:25">
      <c r="A42">
        <f>IF(Y42,CMOS!G40,"")</f>
        <v>3.8</v>
      </c>
      <c r="B42">
        <f>IF(Y42,$I$3*CMOS!N40^$F$3*(1000*CMOS!E40)^$G$3*CMOS!R40^$H$3+$J$3,"")</f>
        <v>24.492555764449644</v>
      </c>
      <c r="Y42" t="b">
        <f>IF(OR(CMOS!N40="",CMOS!R40="",CMOS!E40=""),FALSE,TRUE)</f>
        <v>1</v>
      </c>
    </row>
    <row r="43" spans="1:25">
      <c r="A43">
        <f>IF(Y43,CMOS!G41,"")</f>
        <v>7.125</v>
      </c>
      <c r="B43">
        <f>IF(Y43,$I$3*CMOS!N41^$F$3*(1000*CMOS!E41)^$G$3*CMOS!R41^$H$3+$J$3,"")</f>
        <v>25.093967467074965</v>
      </c>
      <c r="Y43" t="b">
        <f>IF(OR(CMOS!N41="",CMOS!R41="",CMOS!E41=""),FALSE,TRUE)</f>
        <v>1</v>
      </c>
    </row>
    <row r="44" spans="1:25">
      <c r="A44">
        <f>IF(Y44,CMOS!G42,"")</f>
        <v>7.25</v>
      </c>
      <c r="B44">
        <f>IF(Y44,$I$3*CMOS!N42^$F$3*(1000*CMOS!E42)^$G$3*CMOS!R42^$H$3+$J$3,"")</f>
        <v>29.886281481144383</v>
      </c>
      <c r="Y44" t="b">
        <f>IF(OR(CMOS!N42="",CMOS!R42="",CMOS!E42=""),FALSE,TRUE)</f>
        <v>1</v>
      </c>
    </row>
    <row r="45" spans="1:25">
      <c r="A45">
        <f>IF(Y45,CMOS!G43,"")</f>
        <v>0.61</v>
      </c>
      <c r="B45">
        <f>IF(Y45,$I$3*CMOS!N43^$F$3*(1000*CMOS!E43)^$G$3*CMOS!R43^$H$3+$J$3,"")</f>
        <v>36.42651242826453</v>
      </c>
      <c r="Y45" t="b">
        <f>IF(OR(CMOS!N43="",CMOS!R43="",CMOS!E43=""),FALSE,TRUE)</f>
        <v>1</v>
      </c>
    </row>
    <row r="46" spans="1:25">
      <c r="A46">
        <f>IF(Y46,CMOS!G44,"")</f>
        <v>6.85</v>
      </c>
      <c r="B46">
        <f>IF(Y46,$I$3*CMOS!N44^$F$3*(1000*CMOS!E44)^$G$3*CMOS!R44^$H$3+$J$3,"")</f>
        <v>33.892036093359181</v>
      </c>
      <c r="Y46" t="b">
        <f>IF(OR(CMOS!N44="",CMOS!R44="",CMOS!E44=""),FALSE,TRUE)</f>
        <v>1</v>
      </c>
    </row>
    <row r="47" spans="1:25">
      <c r="A47">
        <f>IF(Y47,CMOS!G45,"")</f>
        <v>14.8</v>
      </c>
      <c r="B47">
        <f>IF(Y47,$I$3*CMOS!N45^$F$3*(1000*CMOS!E45)^$G$3*CMOS!R45^$H$3+$J$3,"")</f>
        <v>33.882884790134284</v>
      </c>
      <c r="Y47" t="b">
        <f>IF(OR(CMOS!N45="",CMOS!R45="",CMOS!E45=""),FALSE,TRUE)</f>
        <v>1</v>
      </c>
    </row>
    <row r="48" spans="1:25">
      <c r="A48">
        <f>IF(Y48,CMOS!G46,"")</f>
        <v>6.85</v>
      </c>
      <c r="B48">
        <f>IF(Y48,$I$3*CMOS!N46^$F$3*(1000*CMOS!E46)^$G$3*CMOS!R46^$H$3+$J$3,"")</f>
        <v>31.115636759539083</v>
      </c>
      <c r="Y48" t="b">
        <f>IF(OR(CMOS!N46="",CMOS!R46="",CMOS!E46=""),FALSE,TRUE)</f>
        <v>1</v>
      </c>
    </row>
    <row r="49" spans="1:25">
      <c r="A49">
        <f>IF(Y49,CMOS!G47,"")</f>
        <v>2.0499999999999998</v>
      </c>
      <c r="B49">
        <f>IF(Y49,$I$3*CMOS!N47^$F$3*(1000*CMOS!E47)^$G$3*CMOS!R47^$H$3+$J$3,"")</f>
        <v>17.121630410916598</v>
      </c>
      <c r="Y49" t="b">
        <f>IF(OR(CMOS!N47="",CMOS!R47="",CMOS!E47=""),FALSE,TRUE)</f>
        <v>1</v>
      </c>
    </row>
    <row r="50" spans="1:25">
      <c r="A50">
        <f>IF(Y50,CMOS!G48,"")</f>
        <v>4</v>
      </c>
      <c r="B50">
        <f>IF(Y50,$I$3*CMOS!N48^$F$3*(1000*CMOS!E48)^$G$3*CMOS!R48^$H$3+$J$3,"")</f>
        <v>23.402831007524338</v>
      </c>
      <c r="Y50" t="b">
        <f>IF(OR(CMOS!N48="",CMOS!R48="",CMOS!E48=""),FALSE,TRUE)</f>
        <v>1</v>
      </c>
    </row>
    <row r="51" spans="1:25">
      <c r="A51">
        <f>IF(Y51,CMOS!G49,"")</f>
        <v>0.9</v>
      </c>
      <c r="B51">
        <f>IF(Y51,$I$3*CMOS!N49^$F$3*(1000*CMOS!E49)^$G$3*CMOS!R49^$H$3+$J$3,"")</f>
        <v>9.1000373181041923</v>
      </c>
      <c r="Y51" t="b">
        <f>IF(OR(CMOS!N49="",CMOS!R49="",CMOS!E49=""),FALSE,TRUE)</f>
        <v>1</v>
      </c>
    </row>
    <row r="52" spans="1:25">
      <c r="A52">
        <f>IF(Y52,CMOS!G50,"")</f>
        <v>0.375</v>
      </c>
      <c r="B52">
        <f>IF(Y52,$I$3*CMOS!N50^$F$3*(1000*CMOS!E50)^$G$3*CMOS!R50^$H$3+$J$3,"")</f>
        <v>24.387426778925605</v>
      </c>
      <c r="Y52" t="b">
        <f>IF(OR(CMOS!N50="",CMOS!R50="",CMOS!E50=""),FALSE,TRUE)</f>
        <v>1</v>
      </c>
    </row>
    <row r="53" spans="1:25">
      <c r="A53">
        <f>IF(Y53,CMOS!G51,"")</f>
        <v>5.8</v>
      </c>
      <c r="B53">
        <f>IF(Y53,$I$3*CMOS!N51^$F$3*(1000*CMOS!E51)^$G$3*CMOS!R51^$H$3+$J$3,"")</f>
        <v>21.43493359327702</v>
      </c>
      <c r="Y53" t="b">
        <f>IF(OR(CMOS!N51="",CMOS!R51="",CMOS!E51=""),FALSE,TRUE)</f>
        <v>1</v>
      </c>
    </row>
    <row r="54" spans="1:25">
      <c r="A54">
        <f>IF(Y54,CMOS!G52,"")</f>
        <v>5.8</v>
      </c>
      <c r="B54">
        <f>IF(Y54,$I$3*CMOS!N52^$F$3*(1000*CMOS!E52)^$G$3*CMOS!R52^$H$3+$J$3,"")</f>
        <v>22.320463210567713</v>
      </c>
      <c r="Y54" t="b">
        <f>IF(OR(CMOS!N52="",CMOS!R52="",CMOS!E52=""),FALSE,TRUE)</f>
        <v>1</v>
      </c>
    </row>
    <row r="55" spans="1:25">
      <c r="A55">
        <f>IF(Y55,CMOS!G53,"")</f>
        <v>5.8</v>
      </c>
      <c r="B55">
        <f>IF(Y55,$I$3*CMOS!N53^$F$3*(1000*CMOS!E53)^$G$3*CMOS!R53^$H$3+$J$3,"")</f>
        <v>27.469285660984074</v>
      </c>
      <c r="Y55" t="b">
        <f>IF(OR(CMOS!N53="",CMOS!R53="",CMOS!E53=""),FALSE,TRUE)</f>
        <v>1</v>
      </c>
    </row>
    <row r="56" spans="1:25">
      <c r="A56">
        <f>IF(Y56,CMOS!G54,"")</f>
        <v>5.8</v>
      </c>
      <c r="B56">
        <f>IF(Y56,$I$3*CMOS!N54^$F$3*(1000*CMOS!E54)^$G$3*CMOS!R54^$H$3+$J$3,"")</f>
        <v>28.811519013945482</v>
      </c>
      <c r="Y56" t="b">
        <f>IF(OR(CMOS!N54="",CMOS!R54="",CMOS!E54=""),FALSE,TRUE)</f>
        <v>1</v>
      </c>
    </row>
    <row r="57" spans="1:25">
      <c r="A57">
        <f>IF(Y57,CMOS!G55,"")</f>
        <v>6.4</v>
      </c>
      <c r="B57">
        <f>IF(Y57,$I$3*CMOS!N55^$F$3*(1000*CMOS!E55)^$G$3*CMOS!R55^$H$3+$J$3,"")</f>
        <v>27.916873203905187</v>
      </c>
      <c r="Y57" t="b">
        <f>IF(OR(CMOS!N55="",CMOS!R55="",CMOS!E55=""),FALSE,TRUE)</f>
        <v>1</v>
      </c>
    </row>
    <row r="58" spans="1:25">
      <c r="A58">
        <f>IF(Y58,CMOS!G56,"")</f>
        <v>2.4500000000000002</v>
      </c>
      <c r="B58">
        <f>IF(Y58,$I$3*CMOS!N56^$F$3*(1000*CMOS!E56)^$G$3*CMOS!R56^$H$3+$J$3,"")</f>
        <v>16.282495853246477</v>
      </c>
      <c r="Y58" t="b">
        <f>IF(OR(CMOS!N56="",CMOS!R56="",CMOS!E56=""),FALSE,TRUE)</f>
        <v>1</v>
      </c>
    </row>
    <row r="59" spans="1:25">
      <c r="A59">
        <f>IF(Y59,CMOS!G57,"")</f>
        <v>0.4</v>
      </c>
      <c r="B59">
        <f>IF(Y59,$I$3*CMOS!N57^$F$3*(1000*CMOS!E57)^$G$3*CMOS!R57^$H$3+$J$3,"")</f>
        <v>4.8089356816119526</v>
      </c>
      <c r="Y59" t="b">
        <f>IF(OR(CMOS!N57="",CMOS!R57="",CMOS!E57=""),FALSE,TRUE)</f>
        <v>1</v>
      </c>
    </row>
    <row r="60" spans="1:25">
      <c r="A60">
        <f>IF(Y60,CMOS!G58,"")</f>
        <v>6.7</v>
      </c>
      <c r="B60">
        <f>IF(Y60,$I$3*CMOS!N58^$F$3*(1000*CMOS!E58)^$G$3*CMOS!R58^$H$3+$J$3,"")</f>
        <v>17.333537419108573</v>
      </c>
      <c r="Y60" t="b">
        <f>IF(OR(CMOS!N58="",CMOS!R58="",CMOS!E58=""),FALSE,TRUE)</f>
        <v>1</v>
      </c>
    </row>
    <row r="61" spans="1:25">
      <c r="A61">
        <f>IF(Y61,CMOS!G59,"")</f>
        <v>21.8</v>
      </c>
      <c r="B61">
        <f>IF(Y61,$I$3*CMOS!N59^$F$3*(1000*CMOS!E59)^$G$3*CMOS!R59^$H$3+$J$3,"")</f>
        <v>32.647121804370698</v>
      </c>
      <c r="Y61" t="b">
        <f>IF(OR(CMOS!N59="",CMOS!R59="",CMOS!E59=""),FALSE,TRUE)</f>
        <v>1</v>
      </c>
    </row>
    <row r="62" spans="1:25">
      <c r="A62">
        <f>IF(Y62,CMOS!G60,"")</f>
        <v>5.8</v>
      </c>
      <c r="B62">
        <f>IF(Y62,$I$3*CMOS!N60^$F$3*(1000*CMOS!E60)^$G$3*CMOS!R60^$H$3+$J$3,"")</f>
        <v>33.808629381923026</v>
      </c>
      <c r="Y62" t="b">
        <f>IF(OR(CMOS!N60="",CMOS!R60="",CMOS!E60=""),FALSE,TRUE)</f>
        <v>1</v>
      </c>
    </row>
    <row r="63" spans="1:25">
      <c r="A63">
        <f>IF(Y63,CMOS!G61,"")</f>
        <v>0.93500000000000005</v>
      </c>
      <c r="B63">
        <f>IF(Y63,$I$3*CMOS!N61^$F$3*(1000*CMOS!E61)^$G$3*CMOS!R61^$H$3+$J$3,"")</f>
        <v>13.528893220631556</v>
      </c>
      <c r="Y63" t="b">
        <f>IF(OR(CMOS!N61="",CMOS!R61="",CMOS!E61=""),FALSE,TRUE)</f>
        <v>1</v>
      </c>
    </row>
    <row r="64" spans="1:25">
      <c r="A64">
        <f>IF(Y64,CMOS!G62,"")</f>
        <v>24</v>
      </c>
      <c r="B64">
        <f>IF(Y64,$I$3*CMOS!N62^$F$3*(1000*CMOS!E62)^$G$3*CMOS!R62^$H$3+$J$3,"")</f>
        <v>29.674003402148561</v>
      </c>
      <c r="Y64" t="b">
        <f>IF(OR(CMOS!N62="",CMOS!R62="",CMOS!E62=""),FALSE,TRUE)</f>
        <v>1</v>
      </c>
    </row>
    <row r="65" spans="1:25">
      <c r="A65">
        <f>IF(Y65,CMOS!G63,"")</f>
        <v>24</v>
      </c>
      <c r="B65">
        <f>IF(Y65,$I$3*CMOS!N63^$F$3*(1000*CMOS!E63)^$G$3*CMOS!R63^$H$3+$J$3,"")</f>
        <v>30.781904200341646</v>
      </c>
      <c r="Y65" t="b">
        <f>IF(OR(CMOS!N63="",CMOS!R63="",CMOS!E63=""),FALSE,TRUE)</f>
        <v>1</v>
      </c>
    </row>
    <row r="66" spans="1:25">
      <c r="A66">
        <f>IF(Y66,CMOS!G64,"")</f>
        <v>24</v>
      </c>
      <c r="B66">
        <f>IF(Y66,$I$3*CMOS!N64^$F$3*(1000*CMOS!E64)^$G$3*CMOS!R64^$H$3+$J$3,"")</f>
        <v>34.745157479104577</v>
      </c>
      <c r="Y66" t="b">
        <f>IF(OR(CMOS!N64="",CMOS!R64="",CMOS!E64=""),FALSE,TRUE)</f>
        <v>1</v>
      </c>
    </row>
    <row r="67" spans="1:25">
      <c r="A67">
        <f>IF(Y67,CMOS!G65,"")</f>
        <v>53</v>
      </c>
      <c r="B67">
        <f>IF(Y67,$I$3*CMOS!N65^$F$3*(1000*CMOS!E65)^$G$3*CMOS!R65^$H$3+$J$3,"")</f>
        <v>49.254282890450312</v>
      </c>
      <c r="Y67" t="b">
        <f>IF(OR(CMOS!N65="",CMOS!R65="",CMOS!E65=""),FALSE,TRUE)</f>
        <v>1</v>
      </c>
    </row>
    <row r="68" spans="1:25">
      <c r="A68">
        <f>IF(Y68,CMOS!G66,"")</f>
        <v>38</v>
      </c>
      <c r="B68">
        <f>IF(Y68,$I$3*CMOS!N66^$F$3*(1000*CMOS!E66)^$G$3*CMOS!R66^$H$3+$J$3,"")</f>
        <v>45.662698917163297</v>
      </c>
      <c r="Y68" t="b">
        <f>IF(OR(CMOS!N66="",CMOS!R66="",CMOS!E66=""),FALSE,TRUE)</f>
        <v>1</v>
      </c>
    </row>
    <row r="69" spans="1:25">
      <c r="A69">
        <f>IF(Y69,CMOS!G67,"")</f>
        <v>60</v>
      </c>
      <c r="B69">
        <f>IF(Y69,$I$3*CMOS!N67^$F$3*(1000*CMOS!E67)^$G$3*CMOS!R67^$H$3+$J$3,"")</f>
        <v>84.390849663783158</v>
      </c>
      <c r="Y69" t="b">
        <f>IF(OR(CMOS!N67="",CMOS!R67="",CMOS!E67=""),FALSE,TRUE)</f>
        <v>1</v>
      </c>
    </row>
    <row r="70" spans="1:25">
      <c r="A70">
        <f>IF(Y70,CMOS!G68,"")</f>
        <v>59.75</v>
      </c>
      <c r="B70">
        <f>IF(Y70,$I$3*CMOS!N68^$F$3*(1000*CMOS!E68)^$G$3*CMOS!R68^$H$3+$J$3,"")</f>
        <v>98.732923474766054</v>
      </c>
      <c r="Y70" t="b">
        <f>IF(OR(CMOS!N68="",CMOS!R68="",CMOS!E68=""),FALSE,TRUE)</f>
        <v>1</v>
      </c>
    </row>
    <row r="71" spans="1:25">
      <c r="A71">
        <f>IF(Y71,CMOS!G69,"")</f>
        <v>59.75</v>
      </c>
      <c r="B71">
        <f>IF(Y71,$I$3*CMOS!N69^$F$3*(1000*CMOS!E69)^$G$3*CMOS!R69^$H$3+$J$3,"")</f>
        <v>115.94121427772785</v>
      </c>
      <c r="Y71" t="b">
        <f>IF(OR(CMOS!N69="",CMOS!R69="",CMOS!E69=""),FALSE,TRUE)</f>
        <v>1</v>
      </c>
    </row>
    <row r="72" spans="1:25">
      <c r="A72">
        <f>IF(Y72,CMOS!G70,"")</f>
        <v>60</v>
      </c>
      <c r="B72">
        <f>IF(Y72,$I$3*CMOS!N70^$F$3*(1000*CMOS!E70)^$G$3*CMOS!R70^$H$3+$J$3,"")</f>
        <v>55.14589092580718</v>
      </c>
      <c r="Y72" t="b">
        <f>IF(OR(CMOS!N70="",CMOS!R70="",CMOS!E70=""),FALSE,TRUE)</f>
        <v>1</v>
      </c>
    </row>
    <row r="73" spans="1:25">
      <c r="A73">
        <f>IF(Y73,CMOS!G71,"")</f>
        <v>0.66</v>
      </c>
      <c r="B73">
        <f>IF(Y73,$I$3*CMOS!N71^$F$3*(1000*CMOS!E71)^$G$3*CMOS!R71^$H$3+$J$3,"")</f>
        <v>14.924422537830765</v>
      </c>
      <c r="Y73" t="b">
        <f>IF(OR(CMOS!N71="",CMOS!R71="",CMOS!E71=""),FALSE,TRUE)</f>
        <v>1</v>
      </c>
    </row>
    <row r="74" spans="1:25">
      <c r="A74">
        <f>IF(Y74,CMOS!G72,"")</f>
        <v>60</v>
      </c>
      <c r="B74">
        <f>IF(Y74,$I$3*CMOS!N72^$F$3*(1000*CMOS!E72)^$G$3*CMOS!R72^$H$3+$J$3,"")</f>
        <v>40.448146355580405</v>
      </c>
      <c r="Y74" t="b">
        <f>IF(OR(CMOS!N72="",CMOS!R72="",CMOS!E72=""),FALSE,TRUE)</f>
        <v>1</v>
      </c>
    </row>
    <row r="75" spans="1:25">
      <c r="A75">
        <f>IF(Y75,CMOS!G73,"")</f>
        <v>61.5</v>
      </c>
      <c r="B75">
        <f>IF(Y75,$I$3*CMOS!N73^$F$3*(1000*CMOS!E73)^$G$3*CMOS!R73^$H$3+$J$3,"")</f>
        <v>38.740329102968019</v>
      </c>
      <c r="Y75" t="b">
        <f>IF(OR(CMOS!N73="",CMOS!R73="",CMOS!E73=""),FALSE,TRUE)</f>
        <v>1</v>
      </c>
    </row>
    <row r="76" spans="1:25">
      <c r="A76">
        <f>IF(Y76,CMOS!G74,"")</f>
        <v>1.05</v>
      </c>
      <c r="B76">
        <f>IF(Y76,$I$3*CMOS!N74^$F$3*(1000*CMOS!E74)^$G$3*CMOS!R74^$H$3+$J$3,"")</f>
        <v>29.023029000126012</v>
      </c>
      <c r="Y76" t="b">
        <f>IF(OR(CMOS!N74="",CMOS!R74="",CMOS!E74=""),FALSE,TRUE)</f>
        <v>1</v>
      </c>
    </row>
    <row r="77" spans="1:25">
      <c r="A77">
        <f>IF(Y77,CMOS!G75,"")</f>
        <v>0.61</v>
      </c>
      <c r="B77">
        <f>IF(Y77,$I$3*CMOS!N75^$F$3*(1000*CMOS!E75)^$G$3*CMOS!R75^$H$3+$J$3,"")</f>
        <v>8.9445681540642141</v>
      </c>
      <c r="Y77" t="b">
        <f>IF(OR(CMOS!N75="",CMOS!R75="",CMOS!E75=""),FALSE,TRUE)</f>
        <v>1</v>
      </c>
    </row>
    <row r="78" spans="1:25">
      <c r="A78">
        <f>IF(Y78,CMOS!G76,"")</f>
        <v>54.5</v>
      </c>
      <c r="B78">
        <f>IF(Y78,$I$3*CMOS!N76^$F$3*(1000*CMOS!E76)^$G$3*CMOS!R76^$H$3+$J$3,"")</f>
        <v>45.783535400786818</v>
      </c>
      <c r="Y78" t="b">
        <f>IF(OR(CMOS!N76="",CMOS!R76="",CMOS!E76=""),FALSE,TRUE)</f>
        <v>1</v>
      </c>
    </row>
    <row r="79" spans="1:25">
      <c r="A79">
        <f>IF(Y79,CMOS!G77,"")</f>
        <v>56.25</v>
      </c>
      <c r="B79">
        <f>IF(Y79,$I$3*CMOS!N77^$F$3*(1000*CMOS!E77)^$G$3*CMOS!R77^$H$3+$J$3,"")</f>
        <v>52.974728500530802</v>
      </c>
      <c r="Y79" t="b">
        <f>IF(OR(CMOS!N77="",CMOS!R77="",CMOS!E77=""),FALSE,TRUE)</f>
        <v>1</v>
      </c>
    </row>
    <row r="80" spans="1:25">
      <c r="A80">
        <f>IF(Y80,CMOS!G78,"")</f>
        <v>36.5</v>
      </c>
      <c r="B80">
        <f>IF(Y80,$I$3*CMOS!N78^$F$3*(1000*CMOS!E78)^$G$3*CMOS!R78^$H$3+$J$3,"")</f>
        <v>40.24935574941793</v>
      </c>
      <c r="Y80" t="b">
        <f>IF(OR(CMOS!N78="",CMOS!R78="",CMOS!E78=""),FALSE,TRUE)</f>
        <v>1</v>
      </c>
    </row>
    <row r="81" spans="1:25">
      <c r="A81">
        <f>IF(Y81,CMOS!G79,"")</f>
        <v>58.5</v>
      </c>
      <c r="B81">
        <f>IF(Y81,$I$3*CMOS!N79^$F$3*(1000*CMOS!E79)^$G$3*CMOS!R79^$H$3+$J$3,"")</f>
        <v>83.084961188818141</v>
      </c>
      <c r="Y81" t="b">
        <f>IF(OR(CMOS!N79="",CMOS!R79="",CMOS!E79=""),FALSE,TRUE)</f>
        <v>1</v>
      </c>
    </row>
    <row r="82" spans="1:25">
      <c r="A82">
        <f>IF(Y82,CMOS!G80,"")</f>
        <v>57.75</v>
      </c>
      <c r="B82">
        <f>IF(Y82,$I$3*CMOS!N80^$F$3*(1000*CMOS!E80)^$G$3*CMOS!R80^$H$3+$J$3,"")</f>
        <v>62.771704691643791</v>
      </c>
      <c r="Y82" t="b">
        <f>IF(OR(CMOS!N80="",CMOS!R80="",CMOS!E80=""),FALSE,TRUE)</f>
        <v>1</v>
      </c>
    </row>
    <row r="83" spans="1:25">
      <c r="A83">
        <f>IF(Y83,CMOS!G81,"")</f>
        <v>2.8</v>
      </c>
      <c r="B83">
        <f>IF(Y83,$I$3*CMOS!N81^$F$3*(1000*CMOS!E81)^$G$3*CMOS!R81^$H$3+$J$3,"")</f>
        <v>17.081623969747351</v>
      </c>
      <c r="Y83" t="b">
        <f>IF(OR(CMOS!N81="",CMOS!R81="",CMOS!E81=""),FALSE,TRUE)</f>
        <v>1</v>
      </c>
    </row>
    <row r="84" spans="1:25">
      <c r="A84">
        <f>IF(Y84,CMOS!G82,"")</f>
        <v>3.3</v>
      </c>
      <c r="B84">
        <f>IF(Y84,$I$3*CMOS!N82^$F$3*(1000*CMOS!E82)^$G$3*CMOS!R82^$H$3+$J$3,"")</f>
        <v>21.739120619854464</v>
      </c>
      <c r="Y84" t="b">
        <f>IF(OR(CMOS!N82="",CMOS!R82="",CMOS!E82=""),FALSE,TRUE)</f>
        <v>1</v>
      </c>
    </row>
    <row r="85" spans="1:25">
      <c r="A85">
        <f>IF(Y85,CMOS!G83,"")</f>
        <v>4.5999999999999996</v>
      </c>
      <c r="B85">
        <f>IF(Y85,$I$3*CMOS!N83^$F$3*(1000*CMOS!E83)^$G$3*CMOS!R83^$H$3+$J$3,"")</f>
        <v>26.858804560579141</v>
      </c>
      <c r="Y85" t="b">
        <f>IF(OR(CMOS!N83="",CMOS!R83="",CMOS!E83=""),FALSE,TRUE)</f>
        <v>1</v>
      </c>
    </row>
    <row r="86" spans="1:25">
      <c r="A86">
        <f>IF(Y86,CMOS!G84,"")</f>
        <v>2.0499999999999998</v>
      </c>
      <c r="B86">
        <f>IF(Y86,$I$3*CMOS!N84^$F$3*(1000*CMOS!E84)^$G$3*CMOS!R84^$H$3+$J$3,"")</f>
        <v>28.941489242573208</v>
      </c>
      <c r="Y86" t="b">
        <f>IF(OR(CMOS!N84="",CMOS!R84="",CMOS!E84=""),FALSE,TRUE)</f>
        <v>1</v>
      </c>
    </row>
    <row r="87" spans="1:25">
      <c r="A87">
        <f>IF(Y87,CMOS!G85,"")</f>
        <v>5.65</v>
      </c>
      <c r="B87">
        <f>IF(Y87,$I$3*CMOS!N85^$F$3*(1000*CMOS!E85)^$G$3*CMOS!R85^$H$3+$J$3,"")</f>
        <v>34.850576466289809</v>
      </c>
      <c r="Y87" t="b">
        <f>IF(OR(CMOS!N85="",CMOS!R85="",CMOS!E85=""),FALSE,TRUE)</f>
        <v>1</v>
      </c>
    </row>
    <row r="88" spans="1:25">
      <c r="A88">
        <f>IF(Y88,CMOS!G86,"")</f>
        <v>5.9</v>
      </c>
      <c r="B88">
        <f>IF(Y88,$I$3*CMOS!N86^$F$3*(1000*CMOS!E86)^$G$3*CMOS!R86^$H$3+$J$3,"")</f>
        <v>28.846670859654434</v>
      </c>
      <c r="Y88" t="b">
        <f>IF(OR(CMOS!N86="",CMOS!R86="",CMOS!E86=""),FALSE,TRUE)</f>
        <v>1</v>
      </c>
    </row>
    <row r="89" spans="1:25">
      <c r="A89">
        <f>IF(Y89,CMOS!G87,"")</f>
        <v>60</v>
      </c>
      <c r="B89">
        <f>IF(Y89,$I$3*CMOS!N87^$F$3*(1000*CMOS!E87)^$G$3*CMOS!R87^$H$3+$J$3,"")</f>
        <v>36.61327932200804</v>
      </c>
      <c r="Y89" t="b">
        <f>IF(OR(CMOS!N87="",CMOS!R87="",CMOS!E87=""),FALSE,TRUE)</f>
        <v>1</v>
      </c>
    </row>
    <row r="90" spans="1:25">
      <c r="A90">
        <f>IF(Y90,CMOS!G88,"")</f>
        <v>5.95</v>
      </c>
      <c r="B90">
        <f>IF(Y90,$I$3*CMOS!N88^$F$3*(1000*CMOS!E88)^$G$3*CMOS!R88^$H$3+$J$3,"")</f>
        <v>12.03533801300977</v>
      </c>
      <c r="Y90" t="b">
        <f>IF(OR(CMOS!N88="",CMOS!R88="",CMOS!E88=""),FALSE,TRUE)</f>
        <v>1</v>
      </c>
    </row>
    <row r="91" spans="1:25">
      <c r="A91">
        <f>IF(Y91,CMOS!G89,"")</f>
        <v>5.95</v>
      </c>
      <c r="B91">
        <f>IF(Y91,$I$3*CMOS!N89^$F$3*(1000*CMOS!E89)^$G$3*CMOS!R89^$H$3+$J$3,"")</f>
        <v>12.251065599067768</v>
      </c>
      <c r="Y91" t="b">
        <f>IF(OR(CMOS!N89="",CMOS!R89="",CMOS!E89=""),FALSE,TRUE)</f>
        <v>1</v>
      </c>
    </row>
    <row r="92" spans="1:25">
      <c r="A92">
        <f>IF(Y92,CMOS!G90,"")</f>
        <v>16</v>
      </c>
      <c r="B92">
        <f>IF(Y92,$I$3*CMOS!N90^$F$3*(1000*CMOS!E90)^$G$3*CMOS!R90^$H$3+$J$3,"")</f>
        <v>52.602763303755538</v>
      </c>
      <c r="Y92" t="b">
        <f>IF(OR(CMOS!N90="",CMOS!R90="",CMOS!E90=""),FALSE,TRUE)</f>
        <v>1</v>
      </c>
    </row>
    <row r="93" spans="1:25">
      <c r="A93">
        <f>IF(Y93,CMOS!G91,"")</f>
        <v>3.75</v>
      </c>
      <c r="B93">
        <f>IF(Y93,$I$3*CMOS!N91^$F$3*(1000*CMOS!E91)^$G$3*CMOS!R91^$H$3+$J$3,"")</f>
        <v>28.844669073337666</v>
      </c>
      <c r="Y93" t="b">
        <f>IF(OR(CMOS!N91="",CMOS!R91="",CMOS!E91=""),FALSE,TRUE)</f>
        <v>1</v>
      </c>
    </row>
    <row r="94" spans="1:25">
      <c r="A94">
        <f>IF(Y94,CMOS!G92,"")</f>
        <v>4.5</v>
      </c>
      <c r="B94">
        <f>IF(Y94,$I$3*CMOS!N92^$F$3*(1000*CMOS!E92)^$G$3*CMOS!R92^$H$3+$J$3,"")</f>
        <v>11.727008333737526</v>
      </c>
      <c r="Y94" t="b">
        <f>IF(OR(CMOS!N92="",CMOS!R92="",CMOS!E92=""),FALSE,TRUE)</f>
        <v>1</v>
      </c>
    </row>
    <row r="95" spans="1:25">
      <c r="A95">
        <f>IF(Y95,CMOS!G93,"")</f>
        <v>7.2</v>
      </c>
      <c r="B95">
        <f>IF(Y95,$I$3*CMOS!N93^$F$3*(1000*CMOS!E93)^$G$3*CMOS!R93^$H$3+$J$3,"")</f>
        <v>10.865634680125343</v>
      </c>
      <c r="Y95" t="b">
        <f>IF(OR(CMOS!N93="",CMOS!R93="",CMOS!E93=""),FALSE,TRUE)</f>
        <v>1</v>
      </c>
    </row>
    <row r="96" spans="1:25">
      <c r="A96">
        <f>IF(Y96,CMOS!G94,"")</f>
        <v>0.52500000000000002</v>
      </c>
      <c r="B96">
        <f>IF(Y96,$I$3*CMOS!N94^$F$3*(1000*CMOS!E94)^$G$3*CMOS!R94^$H$3+$J$3,"")</f>
        <v>15.383909481130431</v>
      </c>
      <c r="Y96" t="b">
        <f>IF(OR(CMOS!N94="",CMOS!R94="",CMOS!E94=""),FALSE,TRUE)</f>
        <v>1</v>
      </c>
    </row>
    <row r="97" spans="1:25">
      <c r="A97" t="str">
        <f>IF(Y97,CMOS!G95,"")</f>
        <v/>
      </c>
      <c r="B97" t="str">
        <f>IF(Y97,$I$3*CMOS!N95^$F$3*(1000*CMOS!E95)^$G$3*CMOS!R95^$H$3+$J$3,"")</f>
        <v/>
      </c>
      <c r="Y97" t="b">
        <f>IF(OR(CMOS!N95="",CMOS!R95="",CMOS!E95=""),FALSE,TRUE)</f>
        <v>0</v>
      </c>
    </row>
    <row r="98" spans="1:25">
      <c r="A98">
        <f>IF(Y98,CMOS!G96,"")</f>
        <v>2.2749999999999999</v>
      </c>
      <c r="B98">
        <f>IF(Y98,$I$3*CMOS!N96^$F$3*(1000*CMOS!E96)^$G$3*CMOS!R96^$H$3+$J$3,"")</f>
        <v>23.996406261592373</v>
      </c>
      <c r="Y98" t="b">
        <f>IF(OR(CMOS!N96="",CMOS!R96="",CMOS!E96=""),FALSE,TRUE)</f>
        <v>1</v>
      </c>
    </row>
    <row r="99" spans="1:25">
      <c r="A99">
        <f>IF(Y99,CMOS!G97,"")</f>
        <v>23.75</v>
      </c>
      <c r="B99">
        <f>IF(Y99,$I$3*CMOS!N97^$F$3*(1000*CMOS!E97)^$G$3*CMOS!R97^$H$3+$J$3,"")</f>
        <v>55.041638798690116</v>
      </c>
      <c r="Y99" t="b">
        <f>IF(OR(CMOS!N97="",CMOS!R97="",CMOS!E97=""),FALSE,TRUE)</f>
        <v>1</v>
      </c>
    </row>
    <row r="100" spans="1:25">
      <c r="A100">
        <f>IF(Y100,CMOS!G98,"")</f>
        <v>0.83750000000000002</v>
      </c>
      <c r="B100">
        <f>IF(Y100,$I$3*CMOS!N98^$F$3*(1000*CMOS!E98)^$G$3*CMOS!R98^$H$3+$J$3,"")</f>
        <v>10.855823226270704</v>
      </c>
      <c r="Y100" t="b">
        <f>IF(OR(CMOS!N98="",CMOS!R98="",CMOS!E98=""),FALSE,TRUE)</f>
        <v>1</v>
      </c>
    </row>
    <row r="101" spans="1:25">
      <c r="A101">
        <f>IF(Y101,CMOS!G99,"")</f>
        <v>63.5</v>
      </c>
      <c r="B101">
        <f>IF(Y101,$I$3*CMOS!N99^$F$3*(1000*CMOS!E99)^$G$3*CMOS!R99^$H$3+$J$3,"")</f>
        <v>75.6210619907976</v>
      </c>
      <c r="Y101" t="b">
        <f>IF(OR(CMOS!N99="",CMOS!R99="",CMOS!E99=""),FALSE,TRUE)</f>
        <v>1</v>
      </c>
    </row>
    <row r="102" spans="1:25">
      <c r="A102">
        <f>IF(Y102,CMOS!G100,"")</f>
        <v>118</v>
      </c>
      <c r="B102">
        <f>IF(Y102,$I$3*CMOS!N100^$F$3*(1000*CMOS!E100)^$G$3*CMOS!R100^$H$3+$J$3,"")</f>
        <v>142.00633542280761</v>
      </c>
      <c r="Y102" t="b">
        <f>IF(OR(CMOS!N100="",CMOS!R100="",CMOS!E100=""),FALSE,TRUE)</f>
        <v>1</v>
      </c>
    </row>
    <row r="103" spans="1:25">
      <c r="A103">
        <f>IF(Y103,CMOS!G101,"")</f>
        <v>1.1499999999999999</v>
      </c>
      <c r="B103">
        <f>IF(Y103,$I$3*CMOS!N101^$F$3*(1000*CMOS!E101)^$G$3*CMOS!R101^$H$3+$J$3,"")</f>
        <v>21.639960862912869</v>
      </c>
      <c r="Y103" t="b">
        <f>IF(OR(CMOS!N101="",CMOS!R101="",CMOS!E101=""),FALSE,TRUE)</f>
        <v>1</v>
      </c>
    </row>
    <row r="104" spans="1:25">
      <c r="A104">
        <f>IF(Y104,CMOS!G102,"")</f>
        <v>53.5</v>
      </c>
      <c r="B104">
        <f>IF(Y104,$I$3*CMOS!N102^$F$3*(1000*CMOS!E102)^$G$3*CMOS!R102^$H$3+$J$3,"")</f>
        <v>44.665879061488383</v>
      </c>
      <c r="Y104" t="b">
        <f>IF(OR(CMOS!N102="",CMOS!R102="",CMOS!E102=""),FALSE,TRUE)</f>
        <v>1</v>
      </c>
    </row>
    <row r="105" spans="1:25">
      <c r="A105">
        <f>IF(Y105,CMOS!G103,"")</f>
        <v>54</v>
      </c>
      <c r="B105">
        <f>IF(Y105,$I$3*CMOS!N103^$F$3*(1000*CMOS!E103)^$G$3*CMOS!R103^$H$3+$J$3,"")</f>
        <v>46.83570113826049</v>
      </c>
      <c r="Y105" t="b">
        <f>IF(OR(CMOS!N103="",CMOS!R103="",CMOS!E103=""),FALSE,TRUE)</f>
        <v>1</v>
      </c>
    </row>
    <row r="106" spans="1:25">
      <c r="A106">
        <f>IF(Y106,CMOS!G104,"")</f>
        <v>1.5249999999999999</v>
      </c>
      <c r="B106">
        <f>IF(Y106,$I$3*CMOS!N104^$F$3*(1000*CMOS!E104)^$G$3*CMOS!R104^$H$3+$J$3,"")</f>
        <v>26.213769078807719</v>
      </c>
      <c r="Y106" t="b">
        <f>IF(OR(CMOS!N104="",CMOS!R104="",CMOS!E104=""),FALSE,TRUE)</f>
        <v>1</v>
      </c>
    </row>
    <row r="107" spans="1:25">
      <c r="A107">
        <f>IF(Y107,CMOS!G105,"")</f>
        <v>27.25</v>
      </c>
      <c r="B107">
        <f>IF(Y107,$I$3*CMOS!N105^$F$3*(1000*CMOS!E105)^$G$3*CMOS!R105^$H$3+$J$3,"")</f>
        <v>28.738721909923473</v>
      </c>
      <c r="Y107" t="b">
        <f>IF(OR(CMOS!N105="",CMOS!R105="",CMOS!E105=""),FALSE,TRUE)</f>
        <v>1</v>
      </c>
    </row>
    <row r="108" spans="1:25">
      <c r="A108">
        <f>IF(Y108,CMOS!G106,"")</f>
        <v>3</v>
      </c>
      <c r="B108">
        <f>IF(Y108,$I$3*CMOS!N106^$F$3*(1000*CMOS!E106)^$G$3*CMOS!R106^$H$3+$J$3,"")</f>
        <v>20.71502776440968</v>
      </c>
      <c r="Y108" t="b">
        <f>IF(OR(CMOS!N106="",CMOS!R106="",CMOS!E106=""),FALSE,TRUE)</f>
        <v>1</v>
      </c>
    </row>
    <row r="109" spans="1:25">
      <c r="A109">
        <f>IF(Y109,CMOS!G107,"")</f>
        <v>5</v>
      </c>
      <c r="B109">
        <f>IF(Y109,$I$3*CMOS!N107^$F$3*(1000*CMOS!E107)^$G$3*CMOS!R107^$H$3+$J$3,"")</f>
        <v>17.906746838002331</v>
      </c>
      <c r="Y109" t="b">
        <f>IF(OR(CMOS!N107="",CMOS!R107="",CMOS!E107=""),FALSE,TRUE)</f>
        <v>1</v>
      </c>
    </row>
    <row r="110" spans="1:25">
      <c r="A110">
        <f>IF(Y110,CMOS!G108,"")</f>
        <v>154.5</v>
      </c>
      <c r="B110">
        <f>IF(Y110,$I$3*CMOS!N108^$F$3*(1000*CMOS!E108)^$G$3*CMOS!R108^$H$3+$J$3,"")</f>
        <v>157.02462431027683</v>
      </c>
      <c r="Y110" t="b">
        <f>IF(OR(CMOS!N108="",CMOS!R108="",CMOS!E108=""),FALSE,TRUE)</f>
        <v>1</v>
      </c>
    </row>
    <row r="111" spans="1:25">
      <c r="A111">
        <f>IF(Y111,CMOS!G109,"")</f>
        <v>94.5</v>
      </c>
      <c r="B111">
        <f>IF(Y111,$I$3*CMOS!N109^$F$3*(1000*CMOS!E109)^$G$3*CMOS!R109^$H$3+$J$3,"")</f>
        <v>68.639354594014478</v>
      </c>
      <c r="Y111" t="b">
        <f>IF(OR(CMOS!N109="",CMOS!R109="",CMOS!E109=""),FALSE,TRUE)</f>
        <v>1</v>
      </c>
    </row>
    <row r="112" spans="1:25">
      <c r="A112" t="str">
        <f>IF(Y112,CMOS!G110,"")</f>
        <v/>
      </c>
      <c r="B112" t="str">
        <f>IF(Y112,$I$3*CMOS!N110^$F$3*(1000*CMOS!E110)^$G$3*CMOS!R110^$H$3+$J$3,"")</f>
        <v/>
      </c>
      <c r="Y112" t="b">
        <f>IF(OR(CMOS!N110="",CMOS!R110="",CMOS!E110=""),FALSE,TRUE)</f>
        <v>0</v>
      </c>
    </row>
    <row r="113" spans="1:25">
      <c r="A113">
        <f>IF(Y113,CMOS!G111,"")</f>
        <v>44</v>
      </c>
      <c r="B113">
        <f>IF(Y113,$I$3*CMOS!N111^$F$3*(1000*CMOS!E111)^$G$3*CMOS!R111^$H$3+$J$3,"")</f>
        <v>142.15966718594959</v>
      </c>
      <c r="Y113" t="b">
        <f>IF(OR(CMOS!N111="",CMOS!R111="",CMOS!E111=""),FALSE,TRUE)</f>
        <v>1</v>
      </c>
    </row>
    <row r="114" spans="1:25">
      <c r="A114">
        <f>IF(Y114,CMOS!G112,"")</f>
        <v>27.6</v>
      </c>
      <c r="B114">
        <f>IF(Y114,$I$3*CMOS!N112^$F$3*(1000*CMOS!E112)^$G$3*CMOS!R112^$H$3+$J$3,"")</f>
        <v>53.333017175862068</v>
      </c>
      <c r="Y114" t="b">
        <f>IF(OR(CMOS!N112="",CMOS!R112="",CMOS!E112=""),FALSE,TRUE)</f>
        <v>1</v>
      </c>
    </row>
    <row r="115" spans="1:25">
      <c r="A115">
        <f>IF(Y115,CMOS!G113,"")</f>
        <v>59.5</v>
      </c>
      <c r="B115">
        <f>IF(Y115,$I$3*CMOS!N113^$F$3*(1000*CMOS!E113)^$G$3*CMOS!R113^$H$3+$J$3,"")</f>
        <v>69.741645984737261</v>
      </c>
      <c r="Y115" t="b">
        <f>IF(OR(CMOS!N113="",CMOS!R113="",CMOS!E113=""),FALSE,TRUE)</f>
        <v>1</v>
      </c>
    </row>
    <row r="116" spans="1:25">
      <c r="A116">
        <f>IF(Y116,CMOS!G114,"")</f>
        <v>7</v>
      </c>
      <c r="B116">
        <f>IF(Y116,$I$3*CMOS!N114^$F$3*(1000*CMOS!E114)^$G$3*CMOS!R114^$H$3+$J$3,"")</f>
        <v>76.454582743293813</v>
      </c>
      <c r="Y116" t="b">
        <f>IF(OR(CMOS!N114="",CMOS!R114="",CMOS!E114=""),FALSE,TRUE)</f>
        <v>1</v>
      </c>
    </row>
    <row r="117" spans="1:25">
      <c r="A117">
        <f>IF(Y117,CMOS!G115,"")</f>
        <v>7.5</v>
      </c>
      <c r="B117">
        <f>IF(Y117,$I$3*CMOS!N115^$F$3*(1000*CMOS!E115)^$G$3*CMOS!R115^$H$3+$J$3,"")</f>
        <v>63.211007576891632</v>
      </c>
      <c r="Y117" t="b">
        <f>IF(OR(CMOS!N115="",CMOS!R115="",CMOS!E115=""),FALSE,TRUE)</f>
        <v>1</v>
      </c>
    </row>
    <row r="118" spans="1:25">
      <c r="A118">
        <f>IF(Y118,CMOS!G116,"")</f>
        <v>26.35</v>
      </c>
      <c r="B118">
        <f>IF(Y118,$I$3*CMOS!N116^$F$3*(1000*CMOS!E116)^$G$3*CMOS!R116^$H$3+$J$3,"")</f>
        <v>76.3155925563388</v>
      </c>
      <c r="Y118" t="b">
        <f>IF(OR(CMOS!N116="",CMOS!R116="",CMOS!E116=""),FALSE,TRUE)</f>
        <v>1</v>
      </c>
    </row>
    <row r="119" spans="1:25">
      <c r="A119">
        <f>IF(Y119,CMOS!G117,"")</f>
        <v>63</v>
      </c>
      <c r="B119">
        <f>IF(Y119,$I$3*CMOS!N117^$F$3*(1000*CMOS!E117)^$G$3*CMOS!R117^$H$3+$J$3,"")</f>
        <v>87.034794309871188</v>
      </c>
      <c r="Y119" t="b">
        <f>IF(OR(CMOS!N117="",CMOS!R117="",CMOS!E117=""),FALSE,TRUE)</f>
        <v>1</v>
      </c>
    </row>
    <row r="120" spans="1:25">
      <c r="A120">
        <f>IF(Y120,CMOS!G118,"")</f>
        <v>2.35</v>
      </c>
      <c r="B120">
        <f>IF(Y120,$I$3*CMOS!N118^$F$3*(1000*CMOS!E118)^$G$3*CMOS!R118^$H$3+$J$3,"")</f>
        <v>36.037702930741716</v>
      </c>
      <c r="Y120" t="b">
        <f>IF(OR(CMOS!N118="",CMOS!R118="",CMOS!E118=""),FALSE,TRUE)</f>
        <v>1</v>
      </c>
    </row>
    <row r="121" spans="1:25">
      <c r="A121">
        <f>IF(Y121,CMOS!G119,"")</f>
        <v>61.56</v>
      </c>
      <c r="B121">
        <f>IF(Y121,$I$3*CMOS!N119^$F$3*(1000*CMOS!E119)^$G$3*CMOS!R119^$H$3+$J$3,"")</f>
        <v>72.665127950234975</v>
      </c>
      <c r="Y121" t="b">
        <f>IF(OR(CMOS!N119="",CMOS!R119="",CMOS!E119=""),FALSE,TRUE)</f>
        <v>1</v>
      </c>
    </row>
    <row r="122" spans="1:25">
      <c r="A122">
        <f>IF(Y122,CMOS!G120,"")</f>
        <v>77</v>
      </c>
      <c r="B122">
        <f>IF(Y122,$I$3*CMOS!N120^$F$3*(1000*CMOS!E120)^$G$3*CMOS!R120^$H$3+$J$3,"")</f>
        <v>80.351204140153627</v>
      </c>
      <c r="Y122" t="b">
        <f>IF(OR(CMOS!N120="",CMOS!R120="",CMOS!E120=""),FALSE,TRUE)</f>
        <v>1</v>
      </c>
    </row>
    <row r="123" spans="1:25">
      <c r="A123">
        <f>IF(Y123,CMOS!G121,"")</f>
        <v>77</v>
      </c>
      <c r="B123">
        <f>IF(Y123,$I$3*CMOS!N121^$F$3*(1000*CMOS!E121)^$G$3*CMOS!R121^$H$3+$J$3,"")</f>
        <v>87.017459802929707</v>
      </c>
      <c r="Y123" t="b">
        <f>IF(OR(CMOS!N121="",CMOS!R121="",CMOS!E121=""),FALSE,TRUE)</f>
        <v>1</v>
      </c>
    </row>
    <row r="124" spans="1:25">
      <c r="A124">
        <f>IF(Y124,CMOS!G122,"")</f>
        <v>92</v>
      </c>
      <c r="B124">
        <f>IF(Y124,$I$3*CMOS!N122^$F$3*(1000*CMOS!E122)^$G$3*CMOS!R122^$H$3+$J$3,"")</f>
        <v>107.0796968414501</v>
      </c>
      <c r="Y124" t="b">
        <f>IF(OR(CMOS!N122="",CMOS!R122="",CMOS!E122=""),FALSE,TRUE)</f>
        <v>1</v>
      </c>
    </row>
    <row r="125" spans="1:25">
      <c r="A125">
        <f>IF(Y125,CMOS!G123,"")</f>
        <v>9.5</v>
      </c>
      <c r="B125">
        <f>IF(Y125,$I$3*CMOS!N123^$F$3*(1000*CMOS!E123)^$G$3*CMOS!R123^$H$3+$J$3,"")</f>
        <v>42.950314918827743</v>
      </c>
      <c r="Y125" t="b">
        <f>IF(OR(CMOS!N123="",CMOS!R123="",CMOS!E123=""),FALSE,TRUE)</f>
        <v>1</v>
      </c>
    </row>
    <row r="126" spans="1:25">
      <c r="A126">
        <f>IF(Y126,CMOS!G124,"")</f>
        <v>32</v>
      </c>
      <c r="B126">
        <f>IF(Y126,$I$3*CMOS!N124^$F$3*(1000*CMOS!E124)^$G$3*CMOS!R124^$H$3+$J$3,"")</f>
        <v>69.30085006517676</v>
      </c>
      <c r="Y126" t="b">
        <f>IF(OR(CMOS!N124="",CMOS!R124="",CMOS!E124=""),FALSE,TRUE)</f>
        <v>1</v>
      </c>
    </row>
    <row r="127" spans="1:25">
      <c r="A127" t="str">
        <f>IF(Y127,CMOS!G125,"")</f>
        <v/>
      </c>
      <c r="B127" t="str">
        <f>IF(Y127,$I$3*CMOS!N125^$F$3*(1000*CMOS!E125)^$G$3*CMOS!R125^$H$3+$J$3,"")</f>
        <v/>
      </c>
      <c r="Y127" t="b">
        <f>IF(OR(CMOS!N125="",CMOS!R125="",CMOS!E125=""),FALSE,TRUE)</f>
        <v>0</v>
      </c>
    </row>
    <row r="128" spans="1:25">
      <c r="A128">
        <f>IF(Y128,CMOS!G126,"")</f>
        <v>28.35</v>
      </c>
      <c r="B128">
        <f>IF(Y128,$I$3*CMOS!N126^$F$3*(1000*CMOS!E126)^$G$3*CMOS!R126^$H$3+$J$3,"")</f>
        <v>49.819899855263145</v>
      </c>
      <c r="Y128" t="b">
        <f>IF(OR(CMOS!N126="",CMOS!R126="",CMOS!E126=""),FALSE,TRUE)</f>
        <v>1</v>
      </c>
    </row>
    <row r="129" spans="1:25">
      <c r="A129">
        <f>IF(Y129,CMOS!G127,"")</f>
        <v>28.35</v>
      </c>
      <c r="B129">
        <f>IF(Y129,$I$3*CMOS!N127^$F$3*(1000*CMOS!E127)^$G$3*CMOS!R127^$H$3+$J$3,"")</f>
        <v>50.543841194297244</v>
      </c>
      <c r="Y129" t="b">
        <f>IF(OR(CMOS!N127="",CMOS!R127="",CMOS!E127=""),FALSE,TRUE)</f>
        <v>1</v>
      </c>
    </row>
    <row r="130" spans="1:25">
      <c r="A130">
        <f>IF(Y130,CMOS!G128,"")</f>
        <v>28.35</v>
      </c>
      <c r="B130">
        <f>IF(Y130,$I$3*CMOS!N128^$F$3*(1000*CMOS!E128)^$G$3*CMOS!R128^$H$3+$J$3,"")</f>
        <v>49.926548293657547</v>
      </c>
      <c r="Y130" t="b">
        <f>IF(OR(CMOS!N128="",CMOS!R128="",CMOS!E128=""),FALSE,TRUE)</f>
        <v>1</v>
      </c>
    </row>
    <row r="131" spans="1:25">
      <c r="A131">
        <f>IF(Y131,CMOS!G129,"")</f>
        <v>28.25</v>
      </c>
      <c r="B131">
        <f>IF(Y131,$I$3*CMOS!N129^$F$3*(1000*CMOS!E129)^$G$3*CMOS!R129^$H$3+$J$3,"")</f>
        <v>61.916680251529854</v>
      </c>
      <c r="Y131" t="b">
        <f>IF(OR(CMOS!N129="",CMOS!R129="",CMOS!E129=""),FALSE,TRUE)</f>
        <v>1</v>
      </c>
    </row>
    <row r="132" spans="1:25">
      <c r="A132">
        <f>IF(Y132,CMOS!G130,"")</f>
        <v>30</v>
      </c>
      <c r="B132">
        <f>IF(Y132,$I$3*CMOS!N130^$F$3*(1000*CMOS!E130)^$G$3*CMOS!R130^$H$3+$J$3,"")</f>
        <v>39.193830735967566</v>
      </c>
      <c r="Y132" t="b">
        <f>IF(OR(CMOS!N130="",CMOS!R130="",CMOS!E130=""),FALSE,TRUE)</f>
        <v>1</v>
      </c>
    </row>
    <row r="133" spans="1:25">
      <c r="A133">
        <f>IF(Y133,CMOS!G131,"")</f>
        <v>32.5</v>
      </c>
      <c r="B133">
        <f>IF(Y133,$I$3*CMOS!N131^$F$3*(1000*CMOS!E131)^$G$3*CMOS!R131^$H$3+$J$3,"")</f>
        <v>45.26278361895497</v>
      </c>
      <c r="Y133" t="b">
        <f>IF(OR(CMOS!N131="",CMOS!R131="",CMOS!E131=""),FALSE,TRUE)</f>
        <v>1</v>
      </c>
    </row>
    <row r="134" spans="1:25">
      <c r="A134">
        <f>IF(Y134,CMOS!G132,"")</f>
        <v>27.2</v>
      </c>
      <c r="B134">
        <f>IF(Y134,$I$3*CMOS!N132^$F$3*(1000*CMOS!E132)^$G$3*CMOS!R132^$H$3+$J$3,"")</f>
        <v>53.677591178533973</v>
      </c>
      <c r="Y134" t="b">
        <f>IF(OR(CMOS!N132="",CMOS!R132="",CMOS!E132=""),FALSE,TRUE)</f>
        <v>1</v>
      </c>
    </row>
    <row r="135" spans="1:25">
      <c r="A135">
        <f>IF(Y135,CMOS!G133,"")</f>
        <v>27.2</v>
      </c>
      <c r="B135">
        <f>IF(Y135,$I$3*CMOS!N133^$F$3*(1000*CMOS!E133)^$G$3*CMOS!R133^$H$3+$J$3,"")</f>
        <v>51.626191660222403</v>
      </c>
      <c r="Y135" t="b">
        <f>IF(OR(CMOS!N133="",CMOS!R133="",CMOS!E133=""),FALSE,TRUE)</f>
        <v>1</v>
      </c>
    </row>
    <row r="136" spans="1:25">
      <c r="A136">
        <f>IF(Y136,CMOS!G134,"")</f>
        <v>24.25</v>
      </c>
      <c r="B136">
        <f>IF(Y136,$I$3*CMOS!N134^$F$3*(1000*CMOS!E134)^$G$3*CMOS!R134^$H$3+$J$3,"")</f>
        <v>38.067920300101889</v>
      </c>
      <c r="Y136" t="b">
        <f>IF(OR(CMOS!N134="",CMOS!R134="",CMOS!E134=""),FALSE,TRUE)</f>
        <v>1</v>
      </c>
    </row>
    <row r="137" spans="1:25">
      <c r="A137">
        <f>IF(Y137,CMOS!G135,"")</f>
        <v>24.25</v>
      </c>
      <c r="B137">
        <f>IF(Y137,$I$3*CMOS!N135^$F$3*(1000*CMOS!E135)^$G$3*CMOS!R135^$H$3+$J$3,"")</f>
        <v>43.802954928172838</v>
      </c>
      <c r="Y137" t="b">
        <f>IF(OR(CMOS!N135="",CMOS!R135="",CMOS!E135=""),FALSE,TRUE)</f>
        <v>1</v>
      </c>
    </row>
    <row r="138" spans="1:25">
      <c r="A138">
        <f>IF(Y138,CMOS!G136,"")</f>
        <v>25</v>
      </c>
      <c r="B138">
        <f>IF(Y138,$I$3*CMOS!N136^$F$3*(1000*CMOS!E136)^$G$3*CMOS!R136^$H$3+$J$3,"")</f>
        <v>44.12390127195664</v>
      </c>
      <c r="Y138" t="b">
        <f>IF(OR(CMOS!N136="",CMOS!R136="",CMOS!E136=""),FALSE,TRUE)</f>
        <v>1</v>
      </c>
    </row>
    <row r="139" spans="1:25">
      <c r="A139">
        <f>IF(Y139,CMOS!G137,"")</f>
        <v>25</v>
      </c>
      <c r="B139">
        <f>IF(Y139,$I$3*CMOS!N137^$F$3*(1000*CMOS!E137)^$G$3*CMOS!R137^$H$3+$J$3,"")</f>
        <v>51.909043776555876</v>
      </c>
      <c r="Y139" t="b">
        <f>IF(OR(CMOS!N137="",CMOS!R137="",CMOS!E137=""),FALSE,TRUE)</f>
        <v>1</v>
      </c>
    </row>
    <row r="140" spans="1:25">
      <c r="A140">
        <f>IF(Y140,CMOS!G138,"")</f>
        <v>9.25</v>
      </c>
      <c r="B140">
        <f>IF(Y140,$I$3*CMOS!N138^$F$3*(1000*CMOS!E138)^$G$3*CMOS!R138^$H$3+$J$3,"")</f>
        <v>55.233192850893104</v>
      </c>
      <c r="Y140" t="b">
        <f>IF(OR(CMOS!N138="",CMOS!R138="",CMOS!E138=""),FALSE,TRUE)</f>
        <v>1</v>
      </c>
    </row>
    <row r="141" spans="1:25">
      <c r="A141">
        <f>IF(Y141,CMOS!G139,"")</f>
        <v>6.7</v>
      </c>
      <c r="B141">
        <f>IF(Y141,$I$3*CMOS!N139^$F$3*(1000*CMOS!E139)^$G$3*CMOS!R139^$H$3+$J$3,"")</f>
        <v>16.351149668766087</v>
      </c>
      <c r="Y141" t="b">
        <f>IF(OR(CMOS!N139="",CMOS!R139="",CMOS!E139=""),FALSE,TRUE)</f>
        <v>1</v>
      </c>
    </row>
    <row r="142" spans="1:25">
      <c r="A142">
        <f>IF(Y142,CMOS!G140,"")</f>
        <v>6</v>
      </c>
      <c r="B142">
        <f>IF(Y142,$I$3*CMOS!N140^$F$3*(1000*CMOS!E140)^$G$3*CMOS!R140^$H$3+$J$3,"")</f>
        <v>49.062979077000037</v>
      </c>
      <c r="Y142" t="b">
        <f>IF(OR(CMOS!N140="",CMOS!R140="",CMOS!E140=""),FALSE,TRUE)</f>
        <v>1</v>
      </c>
    </row>
    <row r="143" spans="1:25">
      <c r="A143">
        <f>IF(Y143,CMOS!G141,"")</f>
        <v>152.19999999999999</v>
      </c>
      <c r="B143">
        <f>IF(Y143,$I$3*CMOS!N141^$F$3*(1000*CMOS!E141)^$G$3*CMOS!R141^$H$3+$J$3,"")</f>
        <v>53.821266427031631</v>
      </c>
      <c r="Y143" t="b">
        <f>IF(OR(CMOS!N141="",CMOS!R141="",CMOS!E141=""),FALSE,TRUE)</f>
        <v>1</v>
      </c>
    </row>
    <row r="144" spans="1:25">
      <c r="A144" t="str">
        <f>IF(Y144,CMOS!G191,"")</f>
        <v/>
      </c>
      <c r="B144" t="str">
        <f>IF(Y144,$I$3*CMOS!N191^$F$3*(1000*CMOS!E191)^$G$3*CMOS!R191^$H$3+$J$3,"")</f>
        <v/>
      </c>
      <c r="Y144" t="b">
        <f>IF(OR(CMOS!N191="",CMOS!R191="",CMOS!E191=""),FALSE,TRUE)</f>
        <v>0</v>
      </c>
    </row>
    <row r="145" spans="1:25">
      <c r="A145">
        <f>IF(Y145,CMOS!G192,"")</f>
        <v>1.75</v>
      </c>
      <c r="B145">
        <f>IF(Y145,$I$3*CMOS!N192^$F$3*(1000*CMOS!E192)^$G$3*CMOS!R192^$H$3+$J$3,"")</f>
        <v>22.556435750043864</v>
      </c>
      <c r="Y145" t="b">
        <f>IF(OR(CMOS!N192="",CMOS!R192="",CMOS!E192=""),FALSE,TRUE)</f>
        <v>1</v>
      </c>
    </row>
    <row r="146" spans="1:25">
      <c r="A146" t="str">
        <f>IF(Y146,CMOS!G193,"")</f>
        <v/>
      </c>
      <c r="B146" t="str">
        <f>IF(Y146,$I$3*CMOS!N193^$F$3*(1000*CMOS!E193)^$G$3*CMOS!R193^$H$3+$J$3,"")</f>
        <v/>
      </c>
      <c r="Y146" t="b">
        <f>IF(OR(CMOS!N193="",CMOS!R193="",CMOS!E193=""),FALSE,TRUE)</f>
        <v>0</v>
      </c>
    </row>
    <row r="147" spans="1:25">
      <c r="A147">
        <f>IF(Y147,CMOS!G194,"")</f>
        <v>0.9</v>
      </c>
      <c r="B147">
        <f>IF(Y147,$I$3*CMOS!N194^$F$3*(1000*CMOS!E194)^$G$3*CMOS!R194^$H$3+$J$3,"")</f>
        <v>8.7909466929277222</v>
      </c>
      <c r="Y147" t="b">
        <f>IF(OR(CMOS!N194="",CMOS!R194="",CMOS!E194=""),FALSE,TRUE)</f>
        <v>1</v>
      </c>
    </row>
    <row r="148" spans="1:25">
      <c r="A148">
        <f>IF(Y148,CMOS!G195,"")</f>
        <v>1.9750000000000001</v>
      </c>
      <c r="B148">
        <f>IF(Y148,$I$3*CMOS!N195^$F$3*(1000*CMOS!E195)^$G$3*CMOS!R195^$H$3+$J$3,"")</f>
        <v>3.8546489889203706</v>
      </c>
      <c r="Y148" t="b">
        <f>IF(OR(CMOS!N195="",CMOS!R195="",CMOS!E195=""),FALSE,TRUE)</f>
        <v>1</v>
      </c>
    </row>
    <row r="149" spans="1:25">
      <c r="A149">
        <f>IF(Y149,CMOS!G196,"")</f>
        <v>2.4</v>
      </c>
      <c r="B149">
        <f>IF(Y149,$I$3*CMOS!N196^$F$3*(1000*CMOS!E196)^$G$3*CMOS!R196^$H$3+$J$3,"")</f>
        <v>35.114764635594511</v>
      </c>
      <c r="Y149" t="b">
        <f>IF(OR(CMOS!N196="",CMOS!R196="",CMOS!E196=""),FALSE,TRUE)</f>
        <v>1</v>
      </c>
    </row>
    <row r="150" spans="1:25">
      <c r="A150">
        <f>IF(Y150,CMOS!G197,"")</f>
        <v>0.47499999999999998</v>
      </c>
      <c r="B150">
        <f>IF(Y150,$I$3*CMOS!N197^$F$3*(1000*CMOS!E197)^$G$3*CMOS!R197^$H$3+$J$3,"")</f>
        <v>16.966602482722397</v>
      </c>
      <c r="Y150" t="b">
        <f>IF(OR(CMOS!N197="",CMOS!R197="",CMOS!E197=""),FALSE,TRUE)</f>
        <v>1</v>
      </c>
    </row>
    <row r="151" spans="1:25">
      <c r="A151">
        <f>IF(Y151,CMOS!G198,"")</f>
        <v>0.9</v>
      </c>
      <c r="B151">
        <f>IF(Y151,$I$3*CMOS!N198^$F$3*(1000*CMOS!E198)^$G$3*CMOS!R198^$H$3+$J$3,"")</f>
        <v>0.81553026927023353</v>
      </c>
      <c r="Y151" t="b">
        <f>IF(OR(CMOS!N198="",CMOS!R198="",CMOS!E198=""),FALSE,TRUE)</f>
        <v>1</v>
      </c>
    </row>
    <row r="152" spans="1:25">
      <c r="A152">
        <f>IF(Y152,CMOS!G199,"")</f>
        <v>0.9</v>
      </c>
      <c r="B152">
        <f>IF(Y152,$I$3*CMOS!N199^$F$3*(1000*CMOS!E199)^$G$3*CMOS!R199^$H$3+$J$3,"")</f>
        <v>0.11101609873476725</v>
      </c>
      <c r="Y152" t="b">
        <f>IF(OR(CMOS!N199="",CMOS!R199="",CMOS!E199=""),FALSE,TRUE)</f>
        <v>1</v>
      </c>
    </row>
    <row r="153" spans="1:25">
      <c r="A153">
        <f>IF(Y153,CMOS!G200,"")</f>
        <v>0.9</v>
      </c>
      <c r="B153">
        <f>IF(Y153,$I$3*CMOS!N200^$F$3*(1000*CMOS!E200)^$G$3*CMOS!R200^$H$3+$J$3,"")</f>
        <v>0.11656889272872739</v>
      </c>
      <c r="Y153" t="b">
        <f>IF(OR(CMOS!N200="",CMOS!R200="",CMOS!E200=""),FALSE,TRUE)</f>
        <v>1</v>
      </c>
    </row>
    <row r="154" spans="1:25">
      <c r="A154">
        <f>IF(Y154,CMOS!G201,"")</f>
        <v>1.2649999999999999</v>
      </c>
      <c r="B154">
        <f>IF(Y154,$I$3*CMOS!N201^$F$3*(1000*CMOS!E201)^$G$3*CMOS!R201^$H$3+$J$3,"")</f>
        <v>0.14945880742068063</v>
      </c>
      <c r="Y154" t="b">
        <f>IF(OR(CMOS!N201="",CMOS!R201="",CMOS!E201=""),FALSE,TRUE)</f>
        <v>1</v>
      </c>
    </row>
    <row r="155" spans="1:25">
      <c r="A155">
        <f>IF(Y155,CMOS!G202,"")</f>
        <v>2.625</v>
      </c>
      <c r="B155">
        <f>IF(Y155,$I$3*CMOS!N202^$F$3*(1000*CMOS!E202)^$G$3*CMOS!R202^$H$3+$J$3,"")</f>
        <v>17.740039569912256</v>
      </c>
      <c r="Y155" t="b">
        <f>IF(OR(CMOS!N202="",CMOS!R202="",CMOS!E202=""),FALSE,TRUE)</f>
        <v>1</v>
      </c>
    </row>
    <row r="156" spans="1:25">
      <c r="A156">
        <f>IF(Y156,CMOS!G203,"")</f>
        <v>7</v>
      </c>
      <c r="B156">
        <f>IF(Y156,$I$3*CMOS!N203^$F$3*(1000*CMOS!E203)^$G$3*CMOS!R203^$H$3+$J$3,"")</f>
        <v>11.496418123276005</v>
      </c>
      <c r="Y156" t="b">
        <f>IF(OR(CMOS!N203="",CMOS!R203="",CMOS!E203=""),FALSE,TRUE)</f>
        <v>1</v>
      </c>
    </row>
    <row r="157" spans="1:25">
      <c r="A157">
        <f>IF(Y157,CMOS!G204,"")</f>
        <v>0.8</v>
      </c>
      <c r="B157">
        <f>IF(Y157,$I$3*CMOS!N204^$F$3*(1000*CMOS!E204)^$G$3*CMOS!R204^$H$3+$J$3,"")</f>
        <v>-4.4610266957343825E-2</v>
      </c>
      <c r="Y157" t="b">
        <f>IF(OR(CMOS!N204="",CMOS!R204="",CMOS!E204=""),FALSE,TRUE)</f>
        <v>1</v>
      </c>
    </row>
    <row r="158" spans="1:25">
      <c r="A158">
        <f>IF(Y158,CMOS!G205,"")</f>
        <v>5.75</v>
      </c>
      <c r="B158">
        <f>IF(Y158,$I$3*CMOS!N205^$F$3*(1000*CMOS!E205)^$G$3*CMOS!R205^$H$3+$J$3,"")</f>
        <v>4.4518114322554503</v>
      </c>
      <c r="Y158" t="b">
        <f>IF(OR(CMOS!N205="",CMOS!R205="",CMOS!E205=""),FALSE,TRUE)</f>
        <v>1</v>
      </c>
    </row>
    <row r="159" spans="1:25">
      <c r="A159">
        <f>IF(Y159,CMOS!G206,"")</f>
        <v>5.75</v>
      </c>
      <c r="B159">
        <f>IF(Y159,$I$3*CMOS!N206^$F$3*(1000*CMOS!E206)^$G$3*CMOS!R206^$H$3+$J$3,"")</f>
        <v>13.425492160911713</v>
      </c>
      <c r="Y159" t="b">
        <f>IF(OR(CMOS!N206="",CMOS!R206="",CMOS!E206=""),FALSE,TRUE)</f>
        <v>1</v>
      </c>
    </row>
    <row r="160" spans="1:25">
      <c r="A160">
        <f>IF(Y160,CMOS!G207,"")</f>
        <v>5.1849999999999996</v>
      </c>
      <c r="B160">
        <f>IF(Y160,$I$3*CMOS!N207^$F$3*(1000*CMOS!E207)^$G$3*CMOS!R207^$H$3+$J$3,"")</f>
        <v>11.797448548435547</v>
      </c>
      <c r="Y160" t="b">
        <f>IF(OR(CMOS!N207="",CMOS!R207="",CMOS!E207=""),FALSE,TRUE)</f>
        <v>1</v>
      </c>
    </row>
    <row r="161" spans="1:25">
      <c r="A161">
        <f>IF(Y161,CMOS!G208,"")</f>
        <v>2.15</v>
      </c>
      <c r="B161">
        <f>IF(Y161,$I$3*CMOS!N208^$F$3*(1000*CMOS!E208)^$G$3*CMOS!R208^$H$3+$J$3,"")</f>
        <v>18.530181971499541</v>
      </c>
      <c r="Y161" t="b">
        <f>IF(OR(CMOS!N208="",CMOS!R208="",CMOS!E208=""),FALSE,TRUE)</f>
        <v>1</v>
      </c>
    </row>
    <row r="162" spans="1:25">
      <c r="A162">
        <f>IF(Y162,CMOS!G209,"")</f>
        <v>2.15</v>
      </c>
      <c r="B162">
        <f>IF(Y162,$I$3*CMOS!N209^$F$3*(1000*CMOS!E209)^$G$3*CMOS!R209^$H$3+$J$3,"")</f>
        <v>30.27562014542379</v>
      </c>
      <c r="Y162" t="b">
        <f>IF(OR(CMOS!N209="",CMOS!R209="",CMOS!E209=""),FALSE,TRUE)</f>
        <v>1</v>
      </c>
    </row>
    <row r="163" spans="1:25">
      <c r="A163">
        <f>IF(Y163,CMOS!G210,"")</f>
        <v>0.8</v>
      </c>
      <c r="B163">
        <f>IF(Y163,$I$3*CMOS!N210^$F$3*(1000*CMOS!E210)^$G$3*CMOS!R210^$H$3+$J$3,"")</f>
        <v>12.592283323954348</v>
      </c>
      <c r="Y163" t="b">
        <f>IF(OR(CMOS!N210="",CMOS!R210="",CMOS!E210=""),FALSE,TRUE)</f>
        <v>1</v>
      </c>
    </row>
    <row r="164" spans="1:25">
      <c r="A164">
        <f>IF(Y164,CMOS!G211,"")</f>
        <v>34</v>
      </c>
      <c r="B164">
        <f>IF(Y164,$I$3*CMOS!N211^$F$3*(1000*CMOS!E211)^$G$3*CMOS!R211^$H$3+$J$3,"")</f>
        <v>44.539282783615334</v>
      </c>
      <c r="Y164" t="b">
        <f>IF(OR(CMOS!N211="",CMOS!R211="",CMOS!E211=""),FALSE,TRUE)</f>
        <v>1</v>
      </c>
    </row>
    <row r="165" spans="1:25">
      <c r="A165">
        <f>IF(Y165,CMOS!G212,"")</f>
        <v>5.75</v>
      </c>
      <c r="B165">
        <f>IF(Y165,$I$3*CMOS!N212^$F$3*(1000*CMOS!E212)^$G$3*CMOS!R212^$H$3+$J$3,"")</f>
        <v>27.36279397844304</v>
      </c>
      <c r="Y165" t="b">
        <f>IF(OR(CMOS!N212="",CMOS!R212="",CMOS!E212=""),FALSE,TRUE)</f>
        <v>1</v>
      </c>
    </row>
    <row r="166" spans="1:25">
      <c r="A166">
        <f>IF(Y166,CMOS!G213,"")</f>
        <v>5.95</v>
      </c>
      <c r="B166">
        <f>IF(Y166,$I$3*CMOS!N213^$F$3*(1000*CMOS!E213)^$G$3*CMOS!R213^$H$3+$J$3,"")</f>
        <v>28.219228537202842</v>
      </c>
      <c r="Y166" t="b">
        <f>IF(OR(CMOS!N213="",CMOS!R213="",CMOS!E213=""),FALSE,TRUE)</f>
        <v>1</v>
      </c>
    </row>
    <row r="167" spans="1:25">
      <c r="A167">
        <f>IF(Y167,CMOS!G214,"")</f>
        <v>3.3</v>
      </c>
      <c r="B167">
        <f>IF(Y167,$I$3*CMOS!N214^$F$3*(1000*CMOS!E214)^$G$3*CMOS!R214^$H$3+$J$3,"")</f>
        <v>16.367674049124787</v>
      </c>
      <c r="Y167" t="b">
        <f>IF(OR(CMOS!N214="",CMOS!R214="",CMOS!E214=""),FALSE,TRUE)</f>
        <v>1</v>
      </c>
    </row>
    <row r="168" spans="1:25">
      <c r="A168">
        <f>IF(Y168,CMOS!G215,"")</f>
        <v>5.5</v>
      </c>
      <c r="B168">
        <f>IF(Y168,$I$3*CMOS!N215^$F$3*(1000*CMOS!E215)^$G$3*CMOS!R215^$H$3+$J$3,"")</f>
        <v>28.417823507516385</v>
      </c>
      <c r="Y168" t="b">
        <f>IF(OR(CMOS!N215="",CMOS!R215="",CMOS!E215=""),FALSE,TRUE)</f>
        <v>1</v>
      </c>
    </row>
    <row r="169" spans="1:25">
      <c r="A169">
        <f>IF(Y169,CMOS!G216,"")</f>
        <v>5.5</v>
      </c>
      <c r="B169">
        <f>IF(Y169,$I$3*CMOS!N216^$F$3*(1000*CMOS!E216)^$G$3*CMOS!R216^$H$3+$J$3,"")</f>
        <v>26.857955395572365</v>
      </c>
      <c r="Y169" t="b">
        <f>IF(OR(CMOS!N216="",CMOS!R216="",CMOS!E216=""),FALSE,TRUE)</f>
        <v>1</v>
      </c>
    </row>
    <row r="170" spans="1:25">
      <c r="A170">
        <f>IF(Y170,CMOS!G217,"")</f>
        <v>5.5</v>
      </c>
      <c r="B170">
        <f>IF(Y170,$I$3*CMOS!N217^$F$3*(1000*CMOS!E217)^$G$3*CMOS!R217^$H$3+$J$3,"")</f>
        <v>13.254622755463085</v>
      </c>
      <c r="Y170" t="b">
        <f>IF(OR(CMOS!N217="",CMOS!R217="",CMOS!E217=""),FALSE,TRUE)</f>
        <v>1</v>
      </c>
    </row>
    <row r="171" spans="1:25">
      <c r="A171">
        <f>IF(Y171,CMOS!G218,"")</f>
        <v>1.9650000000000001</v>
      </c>
      <c r="B171">
        <f>IF(Y171,$I$3*CMOS!N218^$F$3*(1000*CMOS!E218)^$G$3*CMOS!R218^$H$3+$J$3,"")</f>
        <v>11.048869780726047</v>
      </c>
      <c r="Y171" t="b">
        <f>IF(OR(CMOS!N218="",CMOS!R218="",CMOS!E218=""),FALSE,TRUE)</f>
        <v>1</v>
      </c>
    </row>
    <row r="172" spans="1:25">
      <c r="A172">
        <f>IF(Y172,CMOS!G219,"")</f>
        <v>3.52</v>
      </c>
      <c r="B172">
        <f>IF(Y172,$I$3*CMOS!N219^$F$3*(1000*CMOS!E219)^$G$3*CMOS!R219^$H$3+$J$3,"")</f>
        <v>29.225492389936353</v>
      </c>
      <c r="Y172" t="b">
        <f>IF(OR(CMOS!N219="",CMOS!R219="",CMOS!E219=""),FALSE,TRUE)</f>
        <v>1</v>
      </c>
    </row>
    <row r="173" spans="1:25">
      <c r="A173">
        <f>IF(Y173,CMOS!G220,"")</f>
        <v>0.93</v>
      </c>
      <c r="B173">
        <f>IF(Y173,$I$3*CMOS!N220^$F$3*(1000*CMOS!E220)^$G$3*CMOS!R220^$H$3+$J$3,"")</f>
        <v>6.3722965633792867</v>
      </c>
      <c r="Y173" t="b">
        <f>IF(OR(CMOS!N220="",CMOS!R220="",CMOS!E220=""),FALSE,TRUE)</f>
        <v>1</v>
      </c>
    </row>
    <row r="174" spans="1:25">
      <c r="A174">
        <f>IF(Y174,CMOS!G221,"")</f>
        <v>0.51500000000000001</v>
      </c>
      <c r="B174">
        <f>IF(Y174,$I$3*CMOS!N221^$F$3*(1000*CMOS!E221)^$G$3*CMOS!R221^$H$3+$J$3,"")</f>
        <v>16.79227792517057</v>
      </c>
      <c r="Y174" t="b">
        <f>IF(OR(CMOS!N221="",CMOS!R221="",CMOS!E221=""),FALSE,TRUE)</f>
        <v>1</v>
      </c>
    </row>
    <row r="175" spans="1:25">
      <c r="A175">
        <f>IF(Y175,CMOS!G222,"")</f>
        <v>6.55</v>
      </c>
      <c r="B175">
        <f>IF(Y175,$I$3*CMOS!N222^$F$3*(1000*CMOS!E222)^$G$3*CMOS!R222^$H$3+$J$3,"")</f>
        <v>35.307222120467145</v>
      </c>
      <c r="Y175" t="b">
        <f>IF(OR(CMOS!N222="",CMOS!R222="",CMOS!E222=""),FALSE,TRUE)</f>
        <v>1</v>
      </c>
    </row>
    <row r="176" spans="1:25">
      <c r="A176">
        <f>IF(Y176,CMOS!G223,"")</f>
        <v>6.85</v>
      </c>
      <c r="B176">
        <f>IF(Y176,$I$3*CMOS!N223^$F$3*(1000*CMOS!E223)^$G$3*CMOS!R223^$H$3+$J$3,"")</f>
        <v>16.129023811339863</v>
      </c>
      <c r="Y176" t="b">
        <f>IF(OR(CMOS!N223="",CMOS!R223="",CMOS!E223=""),FALSE,TRUE)</f>
        <v>1</v>
      </c>
    </row>
    <row r="177" spans="1:25">
      <c r="A177">
        <f>IF(Y177,CMOS!G224,"")</f>
        <v>6.85</v>
      </c>
      <c r="B177">
        <f>IF(Y177,$I$3*CMOS!N224^$F$3*(1000*CMOS!E224)^$G$3*CMOS!R224^$H$3+$J$3,"")</f>
        <v>14.47824333676855</v>
      </c>
      <c r="Y177" t="b">
        <f>IF(OR(CMOS!N224="",CMOS!R224="",CMOS!E224=""),FALSE,TRUE)</f>
        <v>1</v>
      </c>
    </row>
    <row r="178" spans="1:25">
      <c r="A178">
        <f>IF(Y178,CMOS!G225,"")</f>
        <v>2.25</v>
      </c>
      <c r="B178">
        <f>IF(Y178,$I$3*CMOS!N225^$F$3*(1000*CMOS!E225)^$G$3*CMOS!R225^$H$3+$J$3,"")</f>
        <v>62.597623125948331</v>
      </c>
      <c r="Y178" t="b">
        <f>IF(OR(CMOS!N225="",CMOS!R225="",CMOS!E225=""),FALSE,TRUE)</f>
        <v>1</v>
      </c>
    </row>
    <row r="179" spans="1:25">
      <c r="A179">
        <f>IF(Y179,CMOS!G226,"")</f>
        <v>58</v>
      </c>
      <c r="B179">
        <f>IF(Y179,$I$3*CMOS!N226^$F$3*(1000*CMOS!E226)^$G$3*CMOS!R226^$H$3+$J$3,"")</f>
        <v>59.144353223135042</v>
      </c>
      <c r="Y179" t="b">
        <f>IF(OR(CMOS!N226="",CMOS!R226="",CMOS!E226=""),FALSE,TRUE)</f>
        <v>1</v>
      </c>
    </row>
    <row r="180" spans="1:25">
      <c r="A180">
        <f>IF(Y180,CMOS!G227,"")</f>
        <v>1.1000000000000001</v>
      </c>
      <c r="B180">
        <f>IF(Y180,$I$3*CMOS!N227^$F$3*(1000*CMOS!E227)^$G$3*CMOS!R227^$H$3+$J$3,"")</f>
        <v>-0.90158490432235716</v>
      </c>
      <c r="Y180" t="b">
        <f>IF(OR(CMOS!N227="",CMOS!R227="",CMOS!E227=""),FALSE,TRUE)</f>
        <v>1</v>
      </c>
    </row>
    <row r="181" spans="1:25">
      <c r="A181">
        <f>IF(Y181,CMOS!G228,"")</f>
        <v>2</v>
      </c>
      <c r="B181">
        <f>IF(Y181,$I$3*CMOS!N228^$F$3*(1000*CMOS!E228)^$G$3*CMOS!R228^$H$3+$J$3,"")</f>
        <v>72.796927358061978</v>
      </c>
      <c r="Y181" t="b">
        <f>IF(OR(CMOS!N228="",CMOS!R228="",CMOS!E228=""),FALSE,TRUE)</f>
        <v>1</v>
      </c>
    </row>
    <row r="182" spans="1:25">
      <c r="A182">
        <f>IF(Y182,CMOS!G229,"")</f>
        <v>1.5195000000000001</v>
      </c>
      <c r="B182">
        <f>IF(Y182,$I$3*CMOS!N229^$F$3*(1000*CMOS!E229)^$G$3*CMOS!R229^$H$3+$J$3,"")</f>
        <v>33.360345632979787</v>
      </c>
      <c r="Y182" t="b">
        <f>IF(OR(CMOS!N229="",CMOS!R229="",CMOS!E229=""),FALSE,TRUE)</f>
        <v>1</v>
      </c>
    </row>
    <row r="183" spans="1:25">
      <c r="A183">
        <f>IF(Y183,CMOS!G230,"")</f>
        <v>2.1</v>
      </c>
      <c r="B183">
        <f>IF(Y183,$I$3*CMOS!N230^$F$3*(1000*CMOS!E230)^$G$3*CMOS!R230^$H$3+$J$3,"")</f>
        <v>30.8302456107951</v>
      </c>
      <c r="Y183" t="b">
        <f>IF(OR(CMOS!N230="",CMOS!R230="",CMOS!E230=""),FALSE,TRUE)</f>
        <v>1</v>
      </c>
    </row>
    <row r="184" spans="1:25">
      <c r="A184">
        <f>IF(Y184,CMOS!G231,"")</f>
        <v>2.2749999999999999</v>
      </c>
      <c r="B184">
        <f>IF(Y184,$I$3*CMOS!N231^$F$3*(1000*CMOS!E231)^$G$3*CMOS!R231^$H$3+$J$3,"")</f>
        <v>8.4779506381634206</v>
      </c>
      <c r="Y184" t="b">
        <f>IF(OR(CMOS!N231="",CMOS!R231="",CMOS!E231=""),FALSE,TRUE)</f>
        <v>1</v>
      </c>
    </row>
    <row r="185" spans="1:25">
      <c r="A185">
        <f>IF(Y185,CMOS!G232,"")</f>
        <v>61.5</v>
      </c>
      <c r="B185">
        <f>IF(Y185,$I$3*CMOS!N232^$F$3*(1000*CMOS!E232)^$G$3*CMOS!R232^$H$3+$J$3,"")</f>
        <v>92.319153550880529</v>
      </c>
      <c r="Y185" t="b">
        <f>IF(OR(CMOS!N232="",CMOS!R232="",CMOS!E232=""),FALSE,TRUE)</f>
        <v>1</v>
      </c>
    </row>
    <row r="186" spans="1:25">
      <c r="A186">
        <f>IF(Y186,CMOS!G233,"")</f>
        <v>1.45</v>
      </c>
      <c r="B186">
        <f>IF(Y186,$I$3*CMOS!N233^$F$3*(1000*CMOS!E233)^$G$3*CMOS!R233^$H$3+$J$3,"")</f>
        <v>23.054797226251782</v>
      </c>
      <c r="Y186" t="b">
        <f>IF(OR(CMOS!N233="",CMOS!R233="",CMOS!E233=""),FALSE,TRUE)</f>
        <v>1</v>
      </c>
    </row>
    <row r="187" spans="1:25">
      <c r="A187">
        <f>IF(Y187,CMOS!G234,"")</f>
        <v>2.5499999999999998</v>
      </c>
      <c r="B187">
        <f>IF(Y187,$I$3*CMOS!N234^$F$3*(1000*CMOS!E234)^$G$3*CMOS!R234^$H$3+$J$3,"")</f>
        <v>22.7483167089452</v>
      </c>
      <c r="Y187" t="b">
        <f>IF(OR(CMOS!N234="",CMOS!R234="",CMOS!E234=""),FALSE,TRUE)</f>
        <v>1</v>
      </c>
    </row>
    <row r="188" spans="1:25">
      <c r="A188">
        <f>IF(Y188,CMOS!G235,"")</f>
        <v>5.5</v>
      </c>
      <c r="B188">
        <f>IF(Y188,$I$3*CMOS!N235^$F$3*(1000*CMOS!E235)^$G$3*CMOS!R235^$H$3+$J$3,"")</f>
        <v>15.514540582567982</v>
      </c>
      <c r="Y188" t="b">
        <f>IF(OR(CMOS!N235="",CMOS!R235="",CMOS!E235=""),FALSE,TRUE)</f>
        <v>1</v>
      </c>
    </row>
    <row r="189" spans="1:25">
      <c r="A189">
        <f>IF(Y189,CMOS!G236,"")</f>
        <v>2.7</v>
      </c>
      <c r="B189">
        <f>IF(Y189,$I$3*CMOS!N236^$F$3*(1000*CMOS!E236)^$G$3*CMOS!R236^$H$3+$J$3,"")</f>
        <v>44.705657736757928</v>
      </c>
      <c r="Y189" t="b">
        <f>IF(OR(CMOS!N236="",CMOS!R236="",CMOS!E236=""),FALSE,TRUE)</f>
        <v>1</v>
      </c>
    </row>
    <row r="190" spans="1:25">
      <c r="A190">
        <f>IF(Y190,CMOS!G237,"")</f>
        <v>64</v>
      </c>
      <c r="B190">
        <f>IF(Y190,$I$3*CMOS!N237^$F$3*(1000*CMOS!E237)^$G$3*CMOS!R237^$H$3+$J$3,"")</f>
        <v>83.870992289654197</v>
      </c>
      <c r="Y190" t="b">
        <f>IF(OR(CMOS!N237="",CMOS!R237="",CMOS!E237=""),FALSE,TRUE)</f>
        <v>1</v>
      </c>
    </row>
    <row r="191" spans="1:25">
      <c r="A191">
        <f>IF(Y191,CMOS!G238,"")</f>
        <v>82</v>
      </c>
      <c r="B191">
        <f>IF(Y191,$I$3*CMOS!N238^$F$3*(1000*CMOS!E238)^$G$3*CMOS!R238^$H$3+$J$3,"")</f>
        <v>87.880078079657949</v>
      </c>
      <c r="Y191" t="b">
        <f>IF(OR(CMOS!N238="",CMOS!R238="",CMOS!E238=""),FALSE,TRUE)</f>
        <v>1</v>
      </c>
    </row>
    <row r="192" spans="1:25">
      <c r="A192">
        <f>IF(Y192,CMOS!G239,"")</f>
        <v>3.25</v>
      </c>
      <c r="B192">
        <f>IF(Y192,$I$3*CMOS!N239^$F$3*(1000*CMOS!E239)^$G$3*CMOS!R239^$H$3+$J$3,"")</f>
        <v>24.122750602551736</v>
      </c>
      <c r="Y192" t="b">
        <f>IF(OR(CMOS!N239="",CMOS!R239="",CMOS!E239=""),FALSE,TRUE)</f>
        <v>1</v>
      </c>
    </row>
    <row r="193" spans="1:25">
      <c r="A193">
        <f>IF(Y193,CMOS!G240,"")</f>
        <v>3.25</v>
      </c>
      <c r="B193">
        <f>IF(Y193,$I$3*CMOS!N240^$F$3*(1000*CMOS!E240)^$G$3*CMOS!R240^$H$3+$J$3,"")</f>
        <v>26.161353623043293</v>
      </c>
      <c r="Y193" t="b">
        <f>IF(OR(CMOS!N240="",CMOS!R240="",CMOS!E240=""),FALSE,TRUE)</f>
        <v>1</v>
      </c>
    </row>
    <row r="194" spans="1:25">
      <c r="A194">
        <f>IF(Y194,CMOS!G241,"")</f>
        <v>3.4</v>
      </c>
      <c r="B194">
        <f>IF(Y194,$I$3*CMOS!N241^$F$3*(1000*CMOS!E241)^$G$3*CMOS!R241^$H$3+$J$3,"")</f>
        <v>13.512844849925454</v>
      </c>
      <c r="Y194" t="b">
        <f>IF(OR(CMOS!N241="",CMOS!R241="",CMOS!E241=""),FALSE,TRUE)</f>
        <v>1</v>
      </c>
    </row>
    <row r="195" spans="1:25">
      <c r="A195">
        <f>IF(Y195,CMOS!G242,"")</f>
        <v>2</v>
      </c>
      <c r="B195">
        <f>IF(Y195,$I$3*CMOS!N242^$F$3*(1000*CMOS!E242)^$G$3*CMOS!R242^$H$3+$J$3,"")</f>
        <v>12.758186669699256</v>
      </c>
      <c r="Y195" t="b">
        <f>IF(OR(CMOS!N242="",CMOS!R242="",CMOS!E242=""),FALSE,TRUE)</f>
        <v>1</v>
      </c>
    </row>
    <row r="196" spans="1:25">
      <c r="A196">
        <f>IF(Y196,CMOS!G243,"")</f>
        <v>5</v>
      </c>
      <c r="B196">
        <f>IF(Y196,$I$3*CMOS!N243^$F$3*(1000*CMOS!E243)^$G$3*CMOS!R243^$H$3+$J$3,"")</f>
        <v>12.818290207701292</v>
      </c>
      <c r="Y196" t="b">
        <f>IF(OR(CMOS!N243="",CMOS!R243="",CMOS!E243=""),FALSE,TRUE)</f>
        <v>1</v>
      </c>
    </row>
    <row r="197" spans="1:25">
      <c r="A197">
        <f>IF(Y197,CMOS!G244,"")</f>
        <v>5.3</v>
      </c>
      <c r="B197">
        <f>IF(Y197,$I$3*CMOS!N244^$F$3*(1000*CMOS!E244)^$G$3*CMOS!R244^$H$3+$J$3,"")</f>
        <v>18.828475107440308</v>
      </c>
      <c r="Y197" t="b">
        <f>IF(OR(CMOS!N244="",CMOS!R244="",CMOS!E244=""),FALSE,TRUE)</f>
        <v>1</v>
      </c>
    </row>
    <row r="198" spans="1:25">
      <c r="A198">
        <f>IF(Y198,CMOS!G245,"")</f>
        <v>7</v>
      </c>
      <c r="B198">
        <f>IF(Y198,$I$3*CMOS!N245^$F$3*(1000*CMOS!E245)^$G$3*CMOS!R245^$H$3+$J$3,"")</f>
        <v>17.933822740049248</v>
      </c>
      <c r="Y198" t="b">
        <f>IF(OR(CMOS!N245="",CMOS!R245="",CMOS!E245=""),FALSE,TRUE)</f>
        <v>1</v>
      </c>
    </row>
    <row r="199" spans="1:25">
      <c r="A199">
        <f>IF(Y199,CMOS!G246,"")</f>
        <v>4.5999999999999996</v>
      </c>
      <c r="B199">
        <f>IF(Y199,$I$3*CMOS!N246^$F$3*(1000*CMOS!E246)^$G$3*CMOS!R246^$H$3+$J$3,"")</f>
        <v>20.204498846077367</v>
      </c>
      <c r="Y199" t="b">
        <f>IF(OR(CMOS!N246="",CMOS!R246="",CMOS!E246=""),FALSE,TRUE)</f>
        <v>1</v>
      </c>
    </row>
    <row r="200" spans="1:25">
      <c r="A200">
        <f>IF(Y200,CMOS!G247,"")</f>
        <v>4.8</v>
      </c>
      <c r="B200">
        <f>IF(Y200,$I$3*CMOS!N247^$F$3*(1000*CMOS!E247)^$G$3*CMOS!R247^$H$3+$J$3,"")</f>
        <v>22.43363986038791</v>
      </c>
      <c r="Y200" t="b">
        <f>IF(OR(CMOS!N247="",CMOS!R247="",CMOS!E247=""),FALSE,TRUE)</f>
        <v>1</v>
      </c>
    </row>
    <row r="201" spans="1:25">
      <c r="A201">
        <f>IF(Y201,CMOS!G248,"")</f>
        <v>0.65500000000000003</v>
      </c>
      <c r="B201">
        <f>IF(Y201,$I$3*CMOS!N248^$F$3*(1000*CMOS!E248)^$G$3*CMOS!R248^$H$3+$J$3,"")</f>
        <v>15.648849943141389</v>
      </c>
      <c r="Y201" t="b">
        <f>IF(OR(CMOS!N248="",CMOS!R248="",CMOS!E248=""),FALSE,TRUE)</f>
        <v>1</v>
      </c>
    </row>
    <row r="202" spans="1:25">
      <c r="A202">
        <f>IF(Y202,CMOS!G249,"")</f>
        <v>0.72050000000000003</v>
      </c>
      <c r="B202">
        <f>IF(Y202,$I$3*CMOS!N249^$F$3*(1000*CMOS!E249)^$G$3*CMOS!R249^$H$3+$J$3,"")</f>
        <v>11.53285454226582</v>
      </c>
      <c r="Y202" t="b">
        <f>IF(OR(CMOS!N249="",CMOS!R249="",CMOS!E249=""),FALSE,TRUE)</f>
        <v>1</v>
      </c>
    </row>
    <row r="203" spans="1:25">
      <c r="A203">
        <f>IF(Y203,CMOS!G250,"")</f>
        <v>0.32400000000000001</v>
      </c>
      <c r="B203">
        <f>IF(Y203,$I$3*CMOS!N250^$F$3*(1000*CMOS!E250)^$G$3*CMOS!R250^$H$3+$J$3,"")</f>
        <v>25.086909872937969</v>
      </c>
      <c r="Y203" t="b">
        <f>IF(OR(CMOS!N250="",CMOS!R250="",CMOS!E250=""),FALSE,TRUE)</f>
        <v>1</v>
      </c>
    </row>
    <row r="204" spans="1:25">
      <c r="A204">
        <f>IF(Y204,CMOS!G251,"")</f>
        <v>2.4</v>
      </c>
      <c r="B204">
        <f>IF(Y204,$I$3*CMOS!N251^$F$3*(1000*CMOS!E251)^$G$3*CMOS!R251^$H$3+$J$3,"")</f>
        <v>12.759953509492036</v>
      </c>
      <c r="Y204" t="b">
        <f>IF(OR(CMOS!N251="",CMOS!R251="",CMOS!E251=""),FALSE,TRUE)</f>
        <v>1</v>
      </c>
    </row>
    <row r="205" spans="1:25">
      <c r="A205">
        <f>IF(Y205,CMOS!G252,"")</f>
        <v>2.4</v>
      </c>
      <c r="B205">
        <f>IF(Y205,$I$3*CMOS!N252^$F$3*(1000*CMOS!E252)^$G$3*CMOS!R252^$H$3+$J$3,"")</f>
        <v>6.044121258582944</v>
      </c>
      <c r="Y205" t="b">
        <f>IF(OR(CMOS!N252="",CMOS!R252="",CMOS!E252=""),FALSE,TRUE)</f>
        <v>1</v>
      </c>
    </row>
    <row r="206" spans="1:25">
      <c r="A206">
        <f>IF(Y206,CMOS!G253,"")</f>
        <v>27.5</v>
      </c>
      <c r="B206">
        <f>IF(Y206,$I$3*CMOS!N253^$F$3*(1000*CMOS!E253)^$G$3*CMOS!R253^$H$3+$J$3,"")</f>
        <v>31.75922811216665</v>
      </c>
      <c r="Y206" t="b">
        <f>IF(OR(CMOS!N253="",CMOS!R253="",CMOS!E253=""),FALSE,TRUE)</f>
        <v>1</v>
      </c>
    </row>
    <row r="207" spans="1:25">
      <c r="A207">
        <f>IF(Y207,CMOS!G254,"")</f>
        <v>0.62</v>
      </c>
      <c r="B207">
        <f>IF(Y207,$I$3*CMOS!N254^$F$3*(1000*CMOS!E254)^$G$3*CMOS!R254^$H$3+$J$3,"")</f>
        <v>14.196497614616302</v>
      </c>
      <c r="Y207" t="b">
        <f>IF(OR(CMOS!N254="",CMOS!R254="",CMOS!E254=""),FALSE,TRUE)</f>
        <v>1</v>
      </c>
    </row>
    <row r="208" spans="1:25">
      <c r="A208">
        <f>IF(Y208,CMOS!G255,"")</f>
        <v>60</v>
      </c>
      <c r="B208">
        <f>IF(Y208,$I$3*CMOS!N255^$F$3*(1000*CMOS!E255)^$G$3*CMOS!R255^$H$3+$J$3,"")</f>
        <v>78.419279342908624</v>
      </c>
      <c r="Y208" t="b">
        <f>IF(OR(CMOS!N255="",CMOS!R255="",CMOS!E255=""),FALSE,TRUE)</f>
        <v>1</v>
      </c>
    </row>
    <row r="209" spans="1:25">
      <c r="A209">
        <f>IF(Y209,CMOS!G256,"")</f>
        <v>87</v>
      </c>
      <c r="B209">
        <f>IF(Y209,$I$3*CMOS!N256^$F$3*(1000*CMOS!E256)^$G$3*CMOS!R256^$H$3+$J$3,"")</f>
        <v>87.876859648345331</v>
      </c>
      <c r="Y209" t="b">
        <f>IF(OR(CMOS!N256="",CMOS!R256="",CMOS!E256=""),FALSE,TRUE)</f>
        <v>1</v>
      </c>
    </row>
    <row r="210" spans="1:25">
      <c r="A210">
        <f>IF(Y210,CMOS!G257,"")</f>
        <v>77</v>
      </c>
      <c r="B210">
        <f>IF(Y210,$I$3*CMOS!N257^$F$3*(1000*CMOS!E257)^$G$3*CMOS!R257^$H$3+$J$3,"")</f>
        <v>94.273342416494486</v>
      </c>
      <c r="Y210" t="b">
        <f>IF(OR(CMOS!N257="",CMOS!R257="",CMOS!E257=""),FALSE,TRUE)</f>
        <v>1</v>
      </c>
    </row>
    <row r="211" spans="1:25">
      <c r="A211">
        <f>IF(Y211,CMOS!G258,"")</f>
        <v>1.151</v>
      </c>
      <c r="B211">
        <f>IF(Y211,$I$3*CMOS!N258^$F$3*(1000*CMOS!E258)^$G$3*CMOS!R258^$H$3+$J$3,"")</f>
        <v>15.912654960602065</v>
      </c>
      <c r="Y211" t="b">
        <f>IF(OR(CMOS!N258="",CMOS!R258="",CMOS!E258=""),FALSE,TRUE)</f>
        <v>1</v>
      </c>
    </row>
    <row r="212" spans="1:25">
      <c r="A212">
        <f>IF(Y212,CMOS!G259,"")</f>
        <v>0.91</v>
      </c>
      <c r="B212">
        <f>IF(Y212,$I$3*CMOS!N259^$F$3*(1000*CMOS!E259)^$G$3*CMOS!R259^$H$3+$J$3,"")</f>
        <v>29.956849232659028</v>
      </c>
      <c r="Y212" t="b">
        <f>IF(OR(CMOS!N259="",CMOS!R259="",CMOS!E259=""),FALSE,TRUE)</f>
        <v>1</v>
      </c>
    </row>
    <row r="213" spans="1:25">
      <c r="A213" t="str">
        <f>IF(Y213,CMOS!G260,"")</f>
        <v/>
      </c>
      <c r="B213" t="str">
        <f>IF(Y213,$I$3*CMOS!N260^$F$3*(1000*CMOS!E260)^$G$3*CMOS!R260^$H$3+$J$3,"")</f>
        <v/>
      </c>
      <c r="Y213" t="b">
        <f>IF(OR(CMOS!N260="",CMOS!R260="",CMOS!E260=""),FALSE,TRUE)</f>
        <v>0</v>
      </c>
    </row>
    <row r="214" spans="1:25">
      <c r="A214">
        <f>IF(Y214,CMOS!G261,"")</f>
        <v>62</v>
      </c>
      <c r="B214">
        <f>IF(Y214,$I$3*CMOS!N261^$F$3*(1000*CMOS!E261)^$G$3*CMOS!R261^$H$3+$J$3,"")</f>
        <v>58.268699931455942</v>
      </c>
      <c r="Y214" t="b">
        <f>IF(OR(CMOS!N261="",CMOS!R261="",CMOS!E261=""),FALSE,TRUE)</f>
        <v>1</v>
      </c>
    </row>
    <row r="215" spans="1:25">
      <c r="A215">
        <f>IF(Y215,CMOS!G262,"")</f>
        <v>60</v>
      </c>
      <c r="B215">
        <f>IF(Y215,$I$3*CMOS!N262^$F$3*(1000*CMOS!E262)^$G$3*CMOS!R262^$H$3+$J$3,"")</f>
        <v>65.285955799976932</v>
      </c>
      <c r="Y215" t="b">
        <f>IF(OR(CMOS!N262="",CMOS!R262="",CMOS!E262=""),FALSE,TRUE)</f>
        <v>1</v>
      </c>
    </row>
    <row r="216" spans="1:25">
      <c r="A216">
        <f>IF(Y216,CMOS!G263,"")</f>
        <v>0.105</v>
      </c>
      <c r="B216">
        <f>IF(Y216,$I$3*CMOS!N263^$F$3*(1000*CMOS!E263)^$G$3*CMOS!R263^$H$3+$J$3,"")</f>
        <v>13.576980127484255</v>
      </c>
      <c r="Y216" t="b">
        <f>IF(OR(CMOS!N263="",CMOS!R263="",CMOS!E263=""),FALSE,TRUE)</f>
        <v>1</v>
      </c>
    </row>
    <row r="217" spans="1:25">
      <c r="A217">
        <f>IF(Y217,CMOS!G264,"")</f>
        <v>1.4</v>
      </c>
      <c r="B217">
        <f>IF(Y217,$I$3*CMOS!N264^$F$3*(1000*CMOS!E264)^$G$3*CMOS!R264^$H$3+$J$3,"")</f>
        <v>20.964853872424545</v>
      </c>
      <c r="Y217" t="b">
        <f>IF(OR(CMOS!N264="",CMOS!R264="",CMOS!E264=""),FALSE,TRUE)</f>
        <v>1</v>
      </c>
    </row>
    <row r="218" spans="1:25">
      <c r="A218">
        <f>IF(Y218,CMOS!G265,"")</f>
        <v>5.05</v>
      </c>
      <c r="B218">
        <f>IF(Y218,$I$3*CMOS!N265^$F$3*(1000*CMOS!E265)^$G$3*CMOS!R265^$H$3+$J$3,"")</f>
        <v>29.214973832739719</v>
      </c>
      <c r="Y218" t="b">
        <f>IF(OR(CMOS!N265="",CMOS!R265="",CMOS!E265=""),FALSE,TRUE)</f>
        <v>1</v>
      </c>
    </row>
    <row r="219" spans="1:25">
      <c r="A219" t="str">
        <f>IF(Y219,CMOS!G266,"")</f>
        <v/>
      </c>
      <c r="B219" t="str">
        <f>IF(Y219,$I$3*CMOS!N266^$F$3*(1000*CMOS!E266)^$G$3*CMOS!R266^$H$3+$J$3,"")</f>
        <v/>
      </c>
      <c r="Y219" t="b">
        <f>IF(OR(CMOS!N266="",CMOS!R266="",CMOS!E266=""),FALSE,TRUE)</f>
        <v>0</v>
      </c>
    </row>
    <row r="220" spans="1:25">
      <c r="A220">
        <f>IF(Y220,CMOS!G267,"")</f>
        <v>2.65</v>
      </c>
      <c r="B220">
        <f>IF(Y220,$I$3*CMOS!N267^$F$3*(1000*CMOS!E267)^$G$3*CMOS!R267^$H$3+$J$3,"")</f>
        <v>34.930168865457233</v>
      </c>
      <c r="Y220" t="b">
        <f>IF(OR(CMOS!N267="",CMOS!R267="",CMOS!E267=""),FALSE,TRUE)</f>
        <v>1</v>
      </c>
    </row>
    <row r="221" spans="1:25">
      <c r="A221">
        <f>IF(Y221,CMOS!G268,"")</f>
        <v>211</v>
      </c>
      <c r="B221">
        <f>IF(Y221,$I$3*CMOS!N268^$F$3*(1000*CMOS!E268)^$G$3*CMOS!R268^$H$3+$J$3,"")</f>
        <v>210.58171609944517</v>
      </c>
      <c r="Y221" t="b">
        <f>IF(OR(CMOS!N268="",CMOS!R268="",CMOS!E268=""),FALSE,TRUE)</f>
        <v>1</v>
      </c>
    </row>
    <row r="222" spans="1:25">
      <c r="A222">
        <f>IF(Y222,CMOS!G269,"")</f>
        <v>1</v>
      </c>
      <c r="B222">
        <f>IF(Y222,$I$3*CMOS!N269^$F$3*(1000*CMOS!E269)^$G$3*CMOS!R269^$H$3+$J$3,"")</f>
        <v>12.18169229698703</v>
      </c>
      <c r="Y222" t="b">
        <f>IF(OR(CMOS!N269="",CMOS!R269="",CMOS!E269=""),FALSE,TRUE)</f>
        <v>1</v>
      </c>
    </row>
    <row r="223" spans="1:25">
      <c r="A223">
        <f>IF(Y223,CMOS!G270,"")</f>
        <v>2.2999999999999998</v>
      </c>
      <c r="B223">
        <f>IF(Y223,$I$3*CMOS!N270^$F$3*(1000*CMOS!E270)^$G$3*CMOS!R270^$H$3+$J$3,"")</f>
        <v>36.071255229104139</v>
      </c>
      <c r="Y223" t="b">
        <f>IF(OR(CMOS!N270="",CMOS!R270="",CMOS!E270=""),FALSE,TRUE)</f>
        <v>1</v>
      </c>
    </row>
    <row r="224" spans="1:25">
      <c r="A224">
        <f>IF(Y224,CMOS!G271,"")</f>
        <v>1.1000000000000001</v>
      </c>
      <c r="B224">
        <f>IF(Y224,$I$3*CMOS!N271^$F$3*(1000*CMOS!E271)^$G$3*CMOS!R271^$H$3+$J$3,"")</f>
        <v>29.517789061930184</v>
      </c>
      <c r="Y224" t="b">
        <f>IF(OR(CMOS!N271="",CMOS!R271="",CMOS!E271=""),FALSE,TRUE)</f>
        <v>1</v>
      </c>
    </row>
    <row r="225" spans="1:25">
      <c r="A225">
        <f>IF(Y225,CMOS!G272,"")</f>
        <v>0.9</v>
      </c>
      <c r="B225">
        <f>IF(Y225,$I$3*CMOS!N272^$F$3*(1000*CMOS!E272)^$G$3*CMOS!R272^$H$3+$J$3,"")</f>
        <v>44.875698885632062</v>
      </c>
      <c r="Y225" t="b">
        <f>IF(OR(CMOS!N272="",CMOS!R272="",CMOS!E272=""),FALSE,TRUE)</f>
        <v>1</v>
      </c>
    </row>
    <row r="226" spans="1:25">
      <c r="A226">
        <f>IF(Y226,CMOS!G273,"")</f>
        <v>2.4</v>
      </c>
      <c r="B226">
        <f>IF(Y226,$I$3*CMOS!N273^$F$3*(1000*CMOS!E273)^$G$3*CMOS!R273^$H$3+$J$3,"")</f>
        <v>14.8430201192635</v>
      </c>
      <c r="Y226" t="b">
        <f>IF(OR(CMOS!N273="",CMOS!R273="",CMOS!E273=""),FALSE,TRUE)</f>
        <v>1</v>
      </c>
    </row>
    <row r="227" spans="1:25">
      <c r="A227">
        <f>IF(Y227,CMOS!G274,"")</f>
        <v>1.85</v>
      </c>
      <c r="B227">
        <f>IF(Y227,$I$3*CMOS!N274^$F$3*(1000*CMOS!E274)^$G$3*CMOS!R274^$H$3+$J$3,"")</f>
        <v>15.776638482713359</v>
      </c>
      <c r="Y227" t="b">
        <f>IF(OR(CMOS!N274="",CMOS!R274="",CMOS!E274=""),FALSE,TRUE)</f>
        <v>1</v>
      </c>
    </row>
    <row r="228" spans="1:25">
      <c r="A228">
        <f>IF(Y228,CMOS!G275,"")</f>
        <v>80.849999999999994</v>
      </c>
      <c r="B228">
        <f>IF(Y228,$I$3*CMOS!N275^$F$3*(1000*CMOS!E275)^$G$3*CMOS!R275^$H$3+$J$3,"")</f>
        <v>94.315560651245463</v>
      </c>
      <c r="Y228" t="b">
        <f>IF(OR(CMOS!N275="",CMOS!R275="",CMOS!E275=""),FALSE,TRUE)</f>
        <v>1</v>
      </c>
    </row>
    <row r="229" spans="1:25">
      <c r="A229">
        <f>IF(Y229,CMOS!G276,"")</f>
        <v>80</v>
      </c>
      <c r="B229">
        <f>IF(Y229,$I$3*CMOS!N276^$F$3*(1000*CMOS!E276)^$G$3*CMOS!R276^$H$3+$J$3,"")</f>
        <v>108.1070330357669</v>
      </c>
      <c r="Y229" t="b">
        <f>IF(OR(CMOS!N276="",CMOS!R276="",CMOS!E276=""),FALSE,TRUE)</f>
        <v>1</v>
      </c>
    </row>
    <row r="230" spans="1:25">
      <c r="A230">
        <f>IF(Y230,CMOS!G277,"")</f>
        <v>77.5</v>
      </c>
      <c r="B230">
        <f>IF(Y230,$I$3*CMOS!N277^$F$3*(1000*CMOS!E277)^$G$3*CMOS!R277^$H$3+$J$3,"")</f>
        <v>68.927099567597878</v>
      </c>
      <c r="Y230" t="b">
        <f>IF(OR(CMOS!N277="",CMOS!R277="",CMOS!E277=""),FALSE,TRUE)</f>
        <v>1</v>
      </c>
    </row>
    <row r="231" spans="1:25">
      <c r="A231">
        <f>IF(Y231,CMOS!G278,"")</f>
        <v>77.25</v>
      </c>
      <c r="B231">
        <f>IF(Y231,$I$3*CMOS!N278^$F$3*(1000*CMOS!E278)^$G$3*CMOS!R278^$H$3+$J$3,"")</f>
        <v>72.175334116040105</v>
      </c>
      <c r="Y231" t="b">
        <f>IF(OR(CMOS!N278="",CMOS!R278="",CMOS!E278=""),FALSE,TRUE)</f>
        <v>1</v>
      </c>
    </row>
    <row r="232" spans="1:25">
      <c r="A232">
        <f>IF(Y232,CMOS!G279,"")</f>
        <v>1.05</v>
      </c>
      <c r="B232">
        <f>IF(Y232,$I$3*CMOS!N279^$F$3*(1000*CMOS!E279)^$G$3*CMOS!R279^$H$3+$J$3,"")</f>
        <v>21.668558738135356</v>
      </c>
      <c r="Y232" t="b">
        <f>IF(OR(CMOS!N279="",CMOS!R279="",CMOS!E279=""),FALSE,TRUE)</f>
        <v>1</v>
      </c>
    </row>
    <row r="233" spans="1:25">
      <c r="A233">
        <f>IF(Y233,CMOS!G280,"")</f>
        <v>82.25</v>
      </c>
      <c r="B233">
        <f>IF(Y233,$I$3*CMOS!N280^$F$3*(1000*CMOS!E280)^$G$3*CMOS!R280^$H$3+$J$3,"")</f>
        <v>115.68085199851089</v>
      </c>
      <c r="Y233" t="b">
        <f>IF(OR(CMOS!N280="",CMOS!R280="",CMOS!E280=""),FALSE,TRUE)</f>
        <v>1</v>
      </c>
    </row>
    <row r="234" spans="1:25">
      <c r="A234">
        <f>IF(Y234,CMOS!G281,"")</f>
        <v>4.4000000000000004</v>
      </c>
      <c r="B234">
        <f>IF(Y234,$I$3*CMOS!N281^$F$3*(1000*CMOS!E281)^$G$3*CMOS!R281^$H$3+$J$3,"")</f>
        <v>57.448563059774685</v>
      </c>
      <c r="Y234" t="b">
        <f>IF(OR(CMOS!N281="",CMOS!R281="",CMOS!E281=""),FALSE,TRUE)</f>
        <v>1</v>
      </c>
    </row>
    <row r="235" spans="1:25">
      <c r="A235">
        <f>IF(Y235,CMOS!G282,"")</f>
        <v>68.75</v>
      </c>
      <c r="B235">
        <f>IF(Y235,$I$3*CMOS!N282^$F$3*(1000*CMOS!E282)^$G$3*CMOS!R282^$H$3+$J$3,"")</f>
        <v>64.381472999753484</v>
      </c>
      <c r="Y235" t="b">
        <f>IF(OR(CMOS!N282="",CMOS!R282="",CMOS!E282=""),FALSE,TRUE)</f>
        <v>1</v>
      </c>
    </row>
    <row r="236" spans="1:25">
      <c r="A236">
        <f>IF(Y236,CMOS!G283,"")</f>
        <v>2.4</v>
      </c>
      <c r="B236">
        <f>IF(Y236,$I$3*CMOS!N283^$F$3*(1000*CMOS!E283)^$G$3*CMOS!R283^$H$3+$J$3,"")</f>
        <v>17.823444942591163</v>
      </c>
      <c r="Y236" t="b">
        <f>IF(OR(CMOS!N283="",CMOS!R283="",CMOS!E283=""),FALSE,TRUE)</f>
        <v>1</v>
      </c>
    </row>
    <row r="237" spans="1:25">
      <c r="A237">
        <f>IF(Y237,CMOS!G284,"")</f>
        <v>1.05</v>
      </c>
      <c r="B237">
        <f>IF(Y237,$I$3*CMOS!N284^$F$3*(1000*CMOS!E284)^$G$3*CMOS!R284^$H$3+$J$3,"")</f>
        <v>103.92433930737754</v>
      </c>
      <c r="Y237" t="b">
        <f>IF(OR(CMOS!N284="",CMOS!R284="",CMOS!E284=""),FALSE,TRUE)</f>
        <v>1</v>
      </c>
    </row>
    <row r="238" spans="1:25">
      <c r="A238">
        <f>IF(Y238,CMOS!G285,"")</f>
        <v>27</v>
      </c>
      <c r="B238">
        <f>IF(Y238,$I$3*CMOS!N285^$F$3*(1000*CMOS!E285)^$G$3*CMOS!R285^$H$3+$J$3,"")</f>
        <v>41.590853252639093</v>
      </c>
      <c r="Y238" t="b">
        <f>IF(OR(CMOS!N285="",CMOS!R285="",CMOS!E285=""),FALSE,TRUE)</f>
        <v>1</v>
      </c>
    </row>
    <row r="239" spans="1:25">
      <c r="A239">
        <f>IF(Y239,CMOS!G286,"")</f>
        <v>27</v>
      </c>
      <c r="B239">
        <f>IF(Y239,$I$3*CMOS!N286^$F$3*(1000*CMOS!E286)^$G$3*CMOS!R286^$H$3+$J$3,"")</f>
        <v>40.528655164127215</v>
      </c>
      <c r="Y239" t="b">
        <f>IF(OR(CMOS!N286="",CMOS!R286="",CMOS!E286=""),FALSE,TRUE)</f>
        <v>1</v>
      </c>
    </row>
    <row r="240" spans="1:25">
      <c r="A240">
        <f>IF(Y240,CMOS!G287,"")</f>
        <v>2.4</v>
      </c>
      <c r="B240">
        <f>IF(Y240,$I$3*CMOS!N287^$F$3*(1000*CMOS!E287)^$G$3*CMOS!R287^$H$3+$J$3,"")</f>
        <v>40.68895862125143</v>
      </c>
      <c r="Y240" t="b">
        <f>IF(OR(CMOS!N287="",CMOS!R287="",CMOS!E287=""),FALSE,TRUE)</f>
        <v>1</v>
      </c>
    </row>
    <row r="241" spans="1:25">
      <c r="A241">
        <f>IF(Y241,CMOS!G288,"")</f>
        <v>18.8</v>
      </c>
      <c r="B241">
        <f>IF(Y241,$I$3*CMOS!N288^$F$3*(1000*CMOS!E288)^$G$3*CMOS!R288^$H$3+$J$3,"")</f>
        <v>28.101124565659187</v>
      </c>
      <c r="Y241" t="b">
        <f>IF(OR(CMOS!N288="",CMOS!R288="",CMOS!E288=""),FALSE,TRUE)</f>
        <v>1</v>
      </c>
    </row>
    <row r="242" spans="1:25">
      <c r="A242" t="str">
        <f>IF(Y242,CMOS!G289,"")</f>
        <v/>
      </c>
      <c r="B242" t="str">
        <f>IF(Y242,$I$3*CMOS!N289^$F$3*(1000*CMOS!E289)^$G$3*CMOS!R289^$H$3+$J$3,"")</f>
        <v/>
      </c>
      <c r="Y242" t="b">
        <f>IF(OR(CMOS!N289="",CMOS!R289="",CMOS!E289=""),FALSE,TRUE)</f>
        <v>0</v>
      </c>
    </row>
    <row r="243" spans="1:25">
      <c r="A243">
        <f>IF(Y243,CMOS!G290,"")</f>
        <v>9.25</v>
      </c>
      <c r="B243">
        <f>IF(Y243,$I$3*CMOS!N290^$F$3*(1000*CMOS!E290)^$G$3*CMOS!R290^$H$3+$J$3,"")</f>
        <v>55.265440486919147</v>
      </c>
      <c r="Y243" t="b">
        <f>IF(OR(CMOS!N290="",CMOS!R290="",CMOS!E290=""),FALSE,TRUE)</f>
        <v>1</v>
      </c>
    </row>
    <row r="244" spans="1:25">
      <c r="A244">
        <f>IF(Y244,CMOS!G291,"")</f>
        <v>2.2599999999999998</v>
      </c>
      <c r="B244">
        <f>IF(Y244,$I$3*CMOS!N291^$F$3*(1000*CMOS!E291)^$G$3*CMOS!R291^$H$3+$J$3,"")</f>
        <v>34.719908073959402</v>
      </c>
      <c r="Y244" t="b">
        <f>IF(OR(CMOS!N291="",CMOS!R291="",CMOS!E291=""),FALSE,TRUE)</f>
        <v>1</v>
      </c>
    </row>
    <row r="245" spans="1:25">
      <c r="A245">
        <f>IF(Y245,CMOS!G292,"")</f>
        <v>125</v>
      </c>
      <c r="B245">
        <f>IF(Y245,$I$3*CMOS!N292^$F$3*(1000*CMOS!E292)^$G$3*CMOS!R292^$H$3+$J$3,"")</f>
        <v>95.88195911578093</v>
      </c>
      <c r="Y245" t="b">
        <f>IF(OR(CMOS!N292="",CMOS!R292="",CMOS!E292=""),FALSE,TRUE)</f>
        <v>1</v>
      </c>
    </row>
    <row r="246" spans="1:25">
      <c r="A246" t="str">
        <f>IF(Y246,CMOS!G316,"")</f>
        <v/>
      </c>
      <c r="B246" t="str">
        <f>IF(Y246,$I$3*CMOS!N316^$F$3*(1000*CMOS!E316)^$G$3*CMOS!R316^$H$3+$J$3,"")</f>
        <v/>
      </c>
      <c r="Y246" t="b">
        <f>IF(OR(CMOS!N316="",CMOS!R316="",CMOS!E316=""),FALSE,TRUE)</f>
        <v>0</v>
      </c>
    </row>
    <row r="247" spans="1:25">
      <c r="A247" t="str">
        <f>IF(Y247,CMOS!G317,"")</f>
        <v/>
      </c>
      <c r="B247" t="str">
        <f>IF(Y247,$I$3*CMOS!N317^$F$3*(1000*CMOS!E317)^$G$3*CMOS!R317^$H$3+$J$3,"")</f>
        <v/>
      </c>
      <c r="Y247" t="b">
        <f>IF(OR(CMOS!N317="",CMOS!R317="",CMOS!E317=""),FALSE,TRUE)</f>
        <v>0</v>
      </c>
    </row>
    <row r="248" spans="1:25">
      <c r="A248" t="str">
        <f>IF(Y248,CMOS!G318,"")</f>
        <v/>
      </c>
      <c r="B248" t="str">
        <f>IF(Y248,$I$3*CMOS!N318^$F$3*(1000*CMOS!E318)^$G$3*CMOS!R318^$H$3+$J$3,"")</f>
        <v/>
      </c>
      <c r="Y248" t="b">
        <f>IF(OR(CMOS!N318="",CMOS!R318="",CMOS!E318=""),FALSE,TRUE)</f>
        <v>0</v>
      </c>
    </row>
    <row r="249" spans="1:25">
      <c r="A249" t="str">
        <f>IF(Y249,CMOS!G319,"")</f>
        <v/>
      </c>
      <c r="B249" t="str">
        <f>IF(Y249,$I$3*CMOS!N319^$F$3*(1000*CMOS!E319)^$G$3*CMOS!R319^$H$3+$J$3,"")</f>
        <v/>
      </c>
      <c r="Y249" t="b">
        <f>IF(OR(CMOS!N319="",CMOS!R319="",CMOS!E319=""),FALSE,TRUE)</f>
        <v>0</v>
      </c>
    </row>
    <row r="250" spans="1:25">
      <c r="A250">
        <f>IF(Y250,CMOS!G320,"")</f>
        <v>1.75</v>
      </c>
      <c r="B250">
        <f>IF(Y250,$I$3*CMOS!N320^$F$3*(1000*CMOS!E320)^$G$3*CMOS!R320^$H$3+$J$3,"")</f>
        <v>22.556435750043864</v>
      </c>
      <c r="Y250" t="b">
        <f>IF(OR(CMOS!N320="",CMOS!R320="",CMOS!E320=""),FALSE,TRUE)</f>
        <v>1</v>
      </c>
    </row>
    <row r="251" spans="1:25">
      <c r="A251">
        <f>IF(Y251,CMOS!G321,"")</f>
        <v>1.85</v>
      </c>
      <c r="B251">
        <f>IF(Y251,$I$3*CMOS!N321^$F$3*(1000*CMOS!E321)^$G$3*CMOS!R321^$H$3+$J$3,"")</f>
        <v>19.154671037422442</v>
      </c>
      <c r="Y251" t="b">
        <f>IF(OR(CMOS!N321="",CMOS!R321="",CMOS!E321=""),FALSE,TRUE)</f>
        <v>1</v>
      </c>
    </row>
    <row r="252" spans="1:25">
      <c r="A252">
        <f>IF(Y252,CMOS!G322,"")</f>
        <v>0.9</v>
      </c>
      <c r="B252">
        <f>IF(Y252,$I$3*CMOS!N322^$F$3*(1000*CMOS!E322)^$G$3*CMOS!R322^$H$3+$J$3,"")</f>
        <v>12.246450990343366</v>
      </c>
      <c r="Y252" t="b">
        <f>IF(OR(CMOS!N322="",CMOS!R322="",CMOS!E322=""),FALSE,TRUE)</f>
        <v>1</v>
      </c>
    </row>
    <row r="253" spans="1:25">
      <c r="A253">
        <f>IF(Y253,CMOS!G323,"")</f>
        <v>0.9</v>
      </c>
      <c r="B253">
        <f>IF(Y253,$I$3*CMOS!N323^$F$3*(1000*CMOS!E323)^$G$3*CMOS!R323^$H$3+$J$3,"")</f>
        <v>16.06902917703832</v>
      </c>
      <c r="Y253" t="b">
        <f>IF(OR(CMOS!N323="",CMOS!R323="",CMOS!E323=""),FALSE,TRUE)</f>
        <v>1</v>
      </c>
    </row>
    <row r="254" spans="1:25">
      <c r="A254">
        <f>IF(Y254,CMOS!G324,"")</f>
        <v>1.57</v>
      </c>
      <c r="B254">
        <f>IF(Y254,$I$3*CMOS!N324^$F$3*(1000*CMOS!E324)^$G$3*CMOS!R324^$H$3+$J$3,"")</f>
        <v>5.3562394549962669</v>
      </c>
      <c r="Y254" t="b">
        <f>IF(OR(CMOS!N324="",CMOS!R324="",CMOS!E324=""),FALSE,TRUE)</f>
        <v>1</v>
      </c>
    </row>
    <row r="255" spans="1:25">
      <c r="A255">
        <f>IF(Y255,CMOS!G325,"")</f>
        <v>2.2000000000000002</v>
      </c>
      <c r="B255">
        <f>IF(Y255,$I$3*CMOS!N325^$F$3*(1000*CMOS!E325)^$G$3*CMOS!R325^$H$3+$J$3,"")</f>
        <v>17.464788173463404</v>
      </c>
      <c r="Y255" t="b">
        <f>IF(OR(CMOS!N325="",CMOS!R325="",CMOS!E325=""),FALSE,TRUE)</f>
        <v>1</v>
      </c>
    </row>
    <row r="256" spans="1:25">
      <c r="A256">
        <f>IF(Y256,CMOS!G326,"")</f>
        <v>5.75</v>
      </c>
      <c r="B256">
        <f>IF(Y256,$I$3*CMOS!N326^$F$3*(1000*CMOS!E326)^$G$3*CMOS!R326^$H$3+$J$3,"")</f>
        <v>27.36279397844304</v>
      </c>
      <c r="Y256" t="b">
        <f>IF(OR(CMOS!N326="",CMOS!R326="",CMOS!E326=""),FALSE,TRUE)</f>
        <v>1</v>
      </c>
    </row>
    <row r="257" spans="1:25">
      <c r="A257">
        <f>IF(Y257,CMOS!G327,"")</f>
        <v>5.95</v>
      </c>
      <c r="B257">
        <f>IF(Y257,$I$3*CMOS!N327^$F$3*(1000*CMOS!E327)^$G$3*CMOS!R327^$H$3+$J$3,"")</f>
        <v>28.219228537202842</v>
      </c>
      <c r="Y257" t="b">
        <f>IF(OR(CMOS!N327="",CMOS!R327="",CMOS!E327=""),FALSE,TRUE)</f>
        <v>1</v>
      </c>
    </row>
    <row r="258" spans="1:25">
      <c r="A258">
        <f>IF(Y258,CMOS!G328,"")</f>
        <v>5.9</v>
      </c>
      <c r="B258">
        <f>IF(Y258,$I$3*CMOS!N328^$F$3*(1000*CMOS!E328)^$G$3*CMOS!R328^$H$3+$J$3,"")</f>
        <v>13.254622755463085</v>
      </c>
      <c r="Y258" t="b">
        <f>IF(OR(CMOS!N328="",CMOS!R328="",CMOS!E328=""),FALSE,TRUE)</f>
        <v>1</v>
      </c>
    </row>
    <row r="259" spans="1:25">
      <c r="A259">
        <f>IF(Y259,CMOS!G329,"")</f>
        <v>4</v>
      </c>
      <c r="B259">
        <f>IF(Y259,$I$3*CMOS!N329^$F$3*(1000*CMOS!E329)^$G$3*CMOS!R329^$H$3+$J$3,"")</f>
        <v>11.404525125856505</v>
      </c>
      <c r="Y259" t="b">
        <f>IF(OR(CMOS!N329="",CMOS!R329="",CMOS!E329=""),FALSE,TRUE)</f>
        <v>1</v>
      </c>
    </row>
    <row r="260" spans="1:25">
      <c r="A260">
        <f>IF(Y260,CMOS!G330,"")</f>
        <v>4.3499999999999996</v>
      </c>
      <c r="B260">
        <f>IF(Y260,$I$3*CMOS!N330^$F$3*(1000*CMOS!E330)^$G$3*CMOS!R330^$H$3+$J$3,"")</f>
        <v>25.033894324752257</v>
      </c>
      <c r="Y260" t="b">
        <f>IF(OR(CMOS!N330="",CMOS!R330="",CMOS!E330=""),FALSE,TRUE)</f>
        <v>1</v>
      </c>
    </row>
    <row r="261" spans="1:25">
      <c r="A261">
        <f>IF(Y261,CMOS!G331,"")</f>
        <v>55.5</v>
      </c>
      <c r="B261">
        <f>IF(Y261,$I$3*CMOS!N331^$F$3*(1000*CMOS!E331)^$G$3*CMOS!R331^$H$3+$J$3,"")</f>
        <v>76.372332144510082</v>
      </c>
      <c r="Y261" t="b">
        <f>IF(OR(CMOS!N331="",CMOS!R331="",CMOS!E331=""),FALSE,TRUE)</f>
        <v>1</v>
      </c>
    </row>
    <row r="262" spans="1:25">
      <c r="A262">
        <f>IF(Y262,CMOS!G332,"")</f>
        <v>3.25</v>
      </c>
      <c r="B262">
        <f>IF(Y262,$I$3*CMOS!N332^$F$3*(1000*CMOS!E332)^$G$3*CMOS!R332^$H$3+$J$3,"")</f>
        <v>31.8905358993992</v>
      </c>
      <c r="Y262" t="b">
        <f>IF(OR(CMOS!N332="",CMOS!R332="",CMOS!E332=""),FALSE,TRUE)</f>
        <v>1</v>
      </c>
    </row>
    <row r="263" spans="1:25">
      <c r="A263">
        <f>IF(Y263,CMOS!G333,"")</f>
        <v>3.5</v>
      </c>
      <c r="B263">
        <f>IF(Y263,$I$3*CMOS!N333^$F$3*(1000*CMOS!E333)^$G$3*CMOS!R333^$H$3+$J$3,"")</f>
        <v>22.716918830106888</v>
      </c>
      <c r="Y263" t="b">
        <f>IF(OR(CMOS!N333="",CMOS!R333="",CMOS!E333=""),FALSE,TRUE)</f>
        <v>1</v>
      </c>
    </row>
    <row r="264" spans="1:25">
      <c r="A264">
        <f>IF(Y264,CMOS!G334,"")</f>
        <v>3</v>
      </c>
      <c r="B264">
        <f>IF(Y264,$I$3*CMOS!N334^$F$3*(1000*CMOS!E334)^$G$3*CMOS!R334^$H$3+$J$3,"")</f>
        <v>24.348811368779511</v>
      </c>
      <c r="Y264" t="b">
        <f>IF(OR(CMOS!N334="",CMOS!R334="",CMOS!E334=""),FALSE,TRUE)</f>
        <v>1</v>
      </c>
    </row>
    <row r="265" spans="1:25">
      <c r="A265">
        <f>IF(Y265,CMOS!G335,"")</f>
        <v>3</v>
      </c>
      <c r="B265">
        <f>IF(Y265,$I$3*CMOS!N335^$F$3*(1000*CMOS!E335)^$G$3*CMOS!R335^$H$3+$J$3,"")</f>
        <v>26.820407015255373</v>
      </c>
      <c r="Y265" t="b">
        <f>IF(OR(CMOS!N335="",CMOS!R335="",CMOS!E335=""),FALSE,TRUE)</f>
        <v>1</v>
      </c>
    </row>
    <row r="266" spans="1:25">
      <c r="A266">
        <f>IF(Y266,CMOS!G336,"")</f>
        <v>5</v>
      </c>
      <c r="B266">
        <f>IF(Y266,$I$3*CMOS!N336^$F$3*(1000*CMOS!E336)^$G$3*CMOS!R336^$H$3+$J$3,"")</f>
        <v>32.563704352326681</v>
      </c>
      <c r="Y266" t="b">
        <f>IF(OR(CMOS!N336="",CMOS!R336="",CMOS!E336=""),FALSE,TRUE)</f>
        <v>1</v>
      </c>
    </row>
    <row r="267" spans="1:25">
      <c r="A267" t="str">
        <f>IF(Y267,CMOS!G337,"")</f>
        <v/>
      </c>
      <c r="B267" t="str">
        <f>IF(Y267,$I$3*CMOS!N337^$F$3*(1000*CMOS!E337)^$G$3*CMOS!R337^$H$3+$J$3,"")</f>
        <v/>
      </c>
      <c r="Y267" t="b">
        <f>IF(OR(CMOS!N337="",CMOS!R337="",CMOS!E337=""),FALSE,TRUE)</f>
        <v>0</v>
      </c>
    </row>
    <row r="268" spans="1:25">
      <c r="A268">
        <f>IF(Y268,CMOS!G338,"")</f>
        <v>18.86</v>
      </c>
      <c r="B268">
        <f>IF(Y268,$I$3*CMOS!N338^$F$3*(1000*CMOS!E338)^$G$3*CMOS!R338^$H$3+$J$3,"")</f>
        <v>39.418112668837097</v>
      </c>
      <c r="Y268" t="b">
        <f>IF(OR(CMOS!N338="",CMOS!R338="",CMOS!E338=""),FALSE,TRUE)</f>
        <v>1</v>
      </c>
    </row>
    <row r="269" spans="1:25">
      <c r="A269">
        <f>IF(Y269,CMOS!G339,"")</f>
        <v>59.65</v>
      </c>
      <c r="B269">
        <f>IF(Y269,$I$3*CMOS!N339^$F$3*(1000*CMOS!E339)^$G$3*CMOS!R339^$H$3+$J$3,"")</f>
        <v>78.652900483444355</v>
      </c>
      <c r="Y269" t="b">
        <f>IF(OR(CMOS!N339="",CMOS!R339="",CMOS!E339=""),FALSE,TRUE)</f>
        <v>1</v>
      </c>
    </row>
    <row r="270" spans="1:25">
      <c r="A270">
        <f>IF(Y270,CMOS!G340,"")</f>
        <v>0.61</v>
      </c>
      <c r="B270">
        <f>IF(Y270,$I$3*CMOS!N340^$F$3*(1000*CMOS!E340)^$G$3*CMOS!R340^$H$3+$J$3,"")</f>
        <v>8.9445681540642141</v>
      </c>
      <c r="Y270" t="b">
        <f>IF(OR(CMOS!N340="",CMOS!R340="",CMOS!E340=""),FALSE,TRUE)</f>
        <v>1</v>
      </c>
    </row>
    <row r="271" spans="1:25">
      <c r="A271">
        <f>IF(Y271,CMOS!G341,"")</f>
        <v>2.625</v>
      </c>
      <c r="B271">
        <f>IF(Y271,$I$3*CMOS!N341^$F$3*(1000*CMOS!E341)^$G$3*CMOS!R341^$H$3+$J$3,"")</f>
        <v>55.880895605564803</v>
      </c>
      <c r="Y271" t="b">
        <f>IF(OR(CMOS!N341="",CMOS!R341="",CMOS!E341=""),FALSE,TRUE)</f>
        <v>1</v>
      </c>
    </row>
    <row r="272" spans="1:25">
      <c r="A272" t="str">
        <f>IF(Y272,CMOS!G342,"")</f>
        <v/>
      </c>
      <c r="B272" t="str">
        <f>IF(Y272,$I$3*CMOS!N342^$F$3*(1000*CMOS!E342)^$G$3*CMOS!R342^$H$3+$J$3,"")</f>
        <v/>
      </c>
      <c r="Y272" t="b">
        <f>IF(OR(CMOS!N342="",CMOS!R342="",CMOS!E342=""),FALSE,TRUE)</f>
        <v>0</v>
      </c>
    </row>
    <row r="273" spans="1:25">
      <c r="A273">
        <f>IF(Y273,CMOS!G343,"")</f>
        <v>0.45900000000000002</v>
      </c>
      <c r="B273">
        <f>IF(Y273,$I$3*CMOS!N343^$F$3*(1000*CMOS!E343)^$G$3*CMOS!R343^$H$3+$J$3,"")</f>
        <v>15.860470212785529</v>
      </c>
      <c r="Y273" t="b">
        <f>IF(OR(CMOS!N343="",CMOS!R343="",CMOS!E343=""),FALSE,TRUE)</f>
        <v>1</v>
      </c>
    </row>
    <row r="274" spans="1:25">
      <c r="A274">
        <f>IF(Y274,CMOS!G344,"")</f>
        <v>82.25</v>
      </c>
      <c r="B274">
        <f>IF(Y274,$I$3*CMOS!N344^$F$3*(1000*CMOS!E344)^$G$3*CMOS!R344^$H$3+$J$3,"")</f>
        <v>115.68085199851089</v>
      </c>
      <c r="Y274" t="b">
        <f>IF(OR(CMOS!N344="",CMOS!R344="",CMOS!E344=""),FALSE,TRUE)</f>
        <v>1</v>
      </c>
    </row>
    <row r="275" spans="1:25">
      <c r="A275">
        <f>IF(Y275,CMOS!G345,"")</f>
        <v>81</v>
      </c>
      <c r="B275">
        <f>IF(Y275,$I$3*CMOS!N345^$F$3*(1000*CMOS!E345)^$G$3*CMOS!R345^$H$3+$J$3,"")</f>
        <v>141.96313967222727</v>
      </c>
      <c r="Y275" t="b">
        <f>IF(OR(CMOS!N345="",CMOS!R345="",CMOS!E345=""),FALSE,TRUE)</f>
        <v>1</v>
      </c>
    </row>
    <row r="276" spans="1:25">
      <c r="A276">
        <f>IF(Y276,CMOS!G346,"")</f>
        <v>5.5</v>
      </c>
      <c r="B276">
        <f>IF(Y276,$I$3*CMOS!N346^$F$3*(1000*CMOS!E346)^$G$3*CMOS!R346^$H$3+$J$3,"")</f>
        <v>39.123689187397986</v>
      </c>
      <c r="Y276" t="b">
        <f>IF(OR(CMOS!N346="",CMOS!R346="",CMOS!E346=""),FALSE,TRUE)</f>
        <v>1</v>
      </c>
    </row>
    <row r="277" spans="1:25">
      <c r="A277">
        <f>IF(Y277,CMOS!G347,"")</f>
        <v>80.5</v>
      </c>
      <c r="B277">
        <f>IF(Y277,$I$3*CMOS!N347^$F$3*(1000*CMOS!E347)^$G$3*CMOS!R347^$H$3+$J$3,"")</f>
        <v>73.485300870571805</v>
      </c>
      <c r="Y277" t="b">
        <f>IF(OR(CMOS!N347="",CMOS!R347="",CMOS!E347=""),FALSE,TRUE)</f>
        <v>1</v>
      </c>
    </row>
    <row r="278" spans="1:25">
      <c r="A278" t="str">
        <f>IF(Y278,CMOS!G353,"")</f>
        <v/>
      </c>
      <c r="B278" t="str">
        <f>IF(Y278,$I$3*CMOS!N353^$F$3*(1000*CMOS!E353)^$G$3*CMOS!R353^$H$3+$J$3,"")</f>
        <v/>
      </c>
      <c r="Y278" t="b">
        <f>IF(OR(CMOS!N353="",CMOS!R353="",CMOS!E353=""),FALSE,TRUE)</f>
        <v>0</v>
      </c>
    </row>
    <row r="279" spans="1:25">
      <c r="A279">
        <f>IF(Y279,CMOS!G354,"")</f>
        <v>59</v>
      </c>
      <c r="B279">
        <f>IF(Y279,$I$3*CMOS!N354^$F$3*(1000*CMOS!E354)^$G$3*CMOS!R354^$H$3+$J$3,"")</f>
        <v>35.435426301319069</v>
      </c>
      <c r="Y279" t="b">
        <f>IF(OR(CMOS!N354="",CMOS!R354="",CMOS!E354=""),FALSE,TRUE)</f>
        <v>1</v>
      </c>
    </row>
    <row r="280" spans="1:25">
      <c r="A280">
        <f>IF(Y280,CMOS!G355,"")</f>
        <v>2</v>
      </c>
      <c r="B280">
        <f>IF(Y280,$I$3*CMOS!N355^$F$3*(1000*CMOS!E355)^$G$3*CMOS!R355^$H$3+$J$3,"")</f>
        <v>12.410418544668026</v>
      </c>
      <c r="Y280" t="b">
        <f>IF(OR(CMOS!N355="",CMOS!R355="",CMOS!E355=""),FALSE,TRUE)</f>
        <v>1</v>
      </c>
    </row>
    <row r="281" spans="1:25">
      <c r="A281">
        <f>IF(Y281,CMOS!G356,"")</f>
        <v>5.2</v>
      </c>
      <c r="B281">
        <f>IF(Y281,$I$3*CMOS!N356^$F$3*(1000*CMOS!E356)^$G$3*CMOS!R356^$H$3+$J$3,"")</f>
        <v>9.284831604492112</v>
      </c>
      <c r="Y281" t="b">
        <f>IF(OR(CMOS!N356="",CMOS!R356="",CMOS!E356=""),FALSE,TRUE)</f>
        <v>1</v>
      </c>
    </row>
    <row r="282" spans="1:25">
      <c r="A282">
        <f>IF(Y282,CMOS!G357,"")</f>
        <v>13.1</v>
      </c>
      <c r="B282">
        <f>IF(Y282,$I$3*CMOS!N357^$F$3*(1000*CMOS!E357)^$G$3*CMOS!R357^$H$3+$J$3,"")</f>
        <v>14.949338595100151</v>
      </c>
      <c r="Y282" t="b">
        <f>IF(OR(CMOS!N357="",CMOS!R357="",CMOS!E357=""),FALSE,TRUE)</f>
        <v>1</v>
      </c>
    </row>
    <row r="283" spans="1:25">
      <c r="A283" t="str">
        <f>IF(Y283,CMOS!G358,"")</f>
        <v/>
      </c>
      <c r="B283" t="str">
        <f>IF(Y283,$I$3*CMOS!N358^$F$3*(1000*CMOS!E358)^$G$3*CMOS!R358^$H$3+$J$3,"")</f>
        <v/>
      </c>
      <c r="Y283" t="b">
        <f>IF(OR(CMOS!N358="",CMOS!R358="",CMOS!E358=""),FALSE,TRUE)</f>
        <v>0</v>
      </c>
    </row>
    <row r="284" spans="1:25">
      <c r="A284">
        <f>IF(Y284,CMOS!G359,"")</f>
        <v>24.4</v>
      </c>
      <c r="B284">
        <f>IF(Y284,$I$3*CMOS!N359^$F$3*(1000*CMOS!E359)^$G$3*CMOS!R359^$H$3+$J$3,"")</f>
        <v>20.799162171640969</v>
      </c>
      <c r="Y284" t="b">
        <f>IF(OR(CMOS!N359="",CMOS!R359="",CMOS!E359=""),FALSE,TRUE)</f>
        <v>1</v>
      </c>
    </row>
    <row r="285" spans="1:25">
      <c r="A285">
        <f>IF(Y285,CMOS!G360,"")</f>
        <v>8.5</v>
      </c>
      <c r="B285">
        <f>IF(Y285,$I$3*CMOS!N360^$F$3*(1000*CMOS!E360)^$G$3*CMOS!R360^$H$3+$J$3,"")</f>
        <v>20.538283055620379</v>
      </c>
      <c r="Y285" t="b">
        <f>IF(OR(CMOS!N360="",CMOS!R360="",CMOS!E360=""),FALSE,TRUE)</f>
        <v>1</v>
      </c>
    </row>
    <row r="286" spans="1:25">
      <c r="A286">
        <f>IF(Y286,CMOS!G361,"")</f>
        <v>3.5</v>
      </c>
      <c r="B286">
        <f>IF(Y286,$I$3*CMOS!N361^$F$3*(1000*CMOS!E361)^$G$3*CMOS!R361^$H$3+$J$3,"")</f>
        <v>27.654933069672385</v>
      </c>
      <c r="Y286" t="b">
        <f>IF(OR(CMOS!N361="",CMOS!R361="",CMOS!E361=""),FALSE,TRUE)</f>
        <v>1</v>
      </c>
    </row>
    <row r="287" spans="1:25">
      <c r="A287">
        <f>IF(Y287,CMOS!G362,"")</f>
        <v>6.7</v>
      </c>
      <c r="B287">
        <f>IF(Y287,$I$3*CMOS!N362^$F$3*(1000*CMOS!E362)^$G$3*CMOS!R362^$H$3+$J$3,"")</f>
        <v>22.278765399664227</v>
      </c>
      <c r="Y287" t="b">
        <f>IF(OR(CMOS!N362="",CMOS!R362="",CMOS!E362=""),FALSE,TRUE)</f>
        <v>1</v>
      </c>
    </row>
    <row r="288" spans="1:25">
      <c r="A288">
        <f>IF(Y288,CMOS!G363,"")</f>
        <v>5.6</v>
      </c>
      <c r="B288">
        <f>IF(Y288,$I$3*CMOS!N363^$F$3*(1000*CMOS!E363)^$G$3*CMOS!R363^$H$3+$J$3,"")</f>
        <v>38.10598769140752</v>
      </c>
      <c r="Y288" t="b">
        <f>IF(OR(CMOS!N363="",CMOS!R363="",CMOS!E363=""),FALSE,TRUE)</f>
        <v>1</v>
      </c>
    </row>
    <row r="289" spans="1:25">
      <c r="A289">
        <f>IF(Y289,CMOS!G364,"")</f>
        <v>3.05</v>
      </c>
      <c r="B289">
        <f>IF(Y289,$I$3*CMOS!N364^$F$3*(1000*CMOS!E364)^$G$3*CMOS!R364^$H$3+$J$3,"")</f>
        <v>31.143337882595592</v>
      </c>
      <c r="Y289" t="b">
        <f>IF(OR(CMOS!N364="",CMOS!R364="",CMOS!E364=""),FALSE,TRUE)</f>
        <v>1</v>
      </c>
    </row>
    <row r="290" spans="1:25">
      <c r="A290">
        <f>IF(Y290,CMOS!G365,"")</f>
        <v>11</v>
      </c>
      <c r="B290">
        <f>IF(Y290,$I$3*CMOS!N365^$F$3*(1000*CMOS!E365)^$G$3*CMOS!R365^$H$3+$J$3,"")</f>
        <v>40.847346624342578</v>
      </c>
      <c r="Y290" t="b">
        <f>IF(OR(CMOS!N365="",CMOS!R365="",CMOS!E365=""),FALSE,TRUE)</f>
        <v>1</v>
      </c>
    </row>
    <row r="291" spans="1:25">
      <c r="A291">
        <f>IF(Y291,CMOS!G366,"")</f>
        <v>1.6850000000000001</v>
      </c>
      <c r="B291">
        <f>IF(Y291,$I$3*CMOS!N366^$F$3*(1000*CMOS!E366)^$G$3*CMOS!R366^$H$3+$J$3,"")</f>
        <v>49.728599896688905</v>
      </c>
      <c r="Y291" t="b">
        <f>IF(OR(CMOS!N366="",CMOS!R366="",CMOS!E366=""),FALSE,TRUE)</f>
        <v>1</v>
      </c>
    </row>
    <row r="292" spans="1:25">
      <c r="A292">
        <f>IF(Y292,CMOS!G367,"")</f>
        <v>23.95</v>
      </c>
      <c r="B292">
        <f>IF(Y292,$I$3*CMOS!N367^$F$3*(1000*CMOS!E367)^$G$3*CMOS!R367^$H$3+$J$3,"")</f>
        <v>38.069073962891125</v>
      </c>
      <c r="Y292" t="b">
        <f>IF(OR(CMOS!N367="",CMOS!R367="",CMOS!E367=""),FALSE,TRUE)</f>
        <v>1</v>
      </c>
    </row>
    <row r="293" spans="1:25">
      <c r="A293">
        <f>IF(Y293,CMOS!G368,"")</f>
        <v>0.45400000000000001</v>
      </c>
      <c r="B293">
        <f>IF(Y293,$I$3*CMOS!N368^$F$3*(1000*CMOS!E368)^$G$3*CMOS!R368^$H$3+$J$3,"")</f>
        <v>19.791339725234447</v>
      </c>
      <c r="Y293" t="b">
        <f>IF(OR(CMOS!N368="",CMOS!R368="",CMOS!E368=""),FALSE,TRUE)</f>
        <v>1</v>
      </c>
    </row>
    <row r="294" spans="1:25">
      <c r="A294">
        <f>IF(Y294,CMOS!G369,"")</f>
        <v>4.1500000000000004</v>
      </c>
      <c r="B294">
        <f>IF(Y294,$I$3*CMOS!N369^$F$3*(1000*CMOS!E369)^$G$3*CMOS!R369^$H$3+$J$3,"")</f>
        <v>36.948409567388012</v>
      </c>
      <c r="Y294" t="b">
        <f>IF(OR(CMOS!N369="",CMOS!R369="",CMOS!E369=""),FALSE,TRUE)</f>
        <v>1</v>
      </c>
    </row>
    <row r="295" spans="1:25">
      <c r="A295">
        <f>IF(Y295,CMOS!G370,"")</f>
        <v>3.65</v>
      </c>
      <c r="B295">
        <f>IF(Y295,$I$3*CMOS!N370^$F$3*(1000*CMOS!E370)^$G$3*CMOS!R370^$H$3+$J$3,"")</f>
        <v>37.823763177172665</v>
      </c>
      <c r="Y295" t="b">
        <f>IF(OR(CMOS!N370="",CMOS!R370="",CMOS!E370=""),FALSE,TRUE)</f>
        <v>1</v>
      </c>
    </row>
    <row r="296" spans="1:25">
      <c r="A296">
        <f>IF(Y296,CMOS!G371,"")</f>
        <v>16.5</v>
      </c>
      <c r="B296">
        <f>IF(Y296,$I$3*CMOS!N371^$F$3*(1000*CMOS!E371)^$G$3*CMOS!R371^$H$3+$J$3,"")</f>
        <v>33.695146036120107</v>
      </c>
      <c r="Y296" t="b">
        <f>IF(OR(CMOS!N371="",CMOS!R371="",CMOS!E371=""),FALSE,TRUE)</f>
        <v>1</v>
      </c>
    </row>
    <row r="297" spans="1:25">
      <c r="A297">
        <f>IF(Y297,CMOS!G372,"")</f>
        <v>10.5</v>
      </c>
      <c r="B297">
        <f>IF(Y297,$I$3*CMOS!N372^$F$3*(1000*CMOS!E372)^$G$3*CMOS!R372^$H$3+$J$3,"")</f>
        <v>43.013869120266463</v>
      </c>
      <c r="Y297" t="b">
        <f>IF(OR(CMOS!N372="",CMOS!R372="",CMOS!E372=""),FALSE,TRUE)</f>
        <v>1</v>
      </c>
    </row>
    <row r="298" spans="1:25">
      <c r="A298">
        <f>IF(Y298,CMOS!G373,"")</f>
        <v>0.55100000000000005</v>
      </c>
      <c r="B298">
        <f>IF(Y298,$I$3*CMOS!N373^$F$3*(1000*CMOS!E373)^$G$3*CMOS!R373^$H$3+$J$3,"")</f>
        <v>16.273982470882853</v>
      </c>
      <c r="Y298" t="b">
        <f>IF(OR(CMOS!N373="",CMOS!R373="",CMOS!E373=""),FALSE,TRUE)</f>
        <v>1</v>
      </c>
    </row>
    <row r="299" spans="1:25">
      <c r="A299">
        <f>IF(Y299,CMOS!G374,"")</f>
        <v>3</v>
      </c>
      <c r="B299">
        <f>IF(Y299,$I$3*CMOS!N374^$F$3*(1000*CMOS!E374)^$G$3*CMOS!R374^$H$3+$J$3,"")</f>
        <v>41.459459573512973</v>
      </c>
      <c r="Y299" t="b">
        <f>IF(OR(CMOS!N374="",CMOS!R374="",CMOS!E374=""),FALSE,TRUE)</f>
        <v>1</v>
      </c>
    </row>
    <row r="300" spans="1:25">
      <c r="A300">
        <f>IF(Y300,CMOS!G375,"")</f>
        <v>3.5</v>
      </c>
      <c r="B300">
        <f>IF(Y300,$I$3*CMOS!N375^$F$3*(1000*CMOS!E375)^$G$3*CMOS!R375^$H$3+$J$3,"")</f>
        <v>60.237538224121025</v>
      </c>
      <c r="Y300" t="b">
        <f>IF(OR(CMOS!N375="",CMOS!R375="",CMOS!E375=""),FALSE,TRUE)</f>
        <v>1</v>
      </c>
    </row>
    <row r="301" spans="1:25">
      <c r="A301">
        <f>IF(Y301,CMOS!G376,"")</f>
        <v>2.5</v>
      </c>
      <c r="B301">
        <f>IF(Y301,$I$3*CMOS!N376^$F$3*(1000*CMOS!E376)^$G$3*CMOS!R376^$H$3+$J$3,"")</f>
        <v>15.233955119344888</v>
      </c>
      <c r="Y301" t="b">
        <f>IF(OR(CMOS!N376="",CMOS!R376="",CMOS!E376=""),FALSE,TRUE)</f>
        <v>1</v>
      </c>
    </row>
    <row r="302" spans="1:25">
      <c r="A302">
        <f>IF(Y302,CMOS!G377,"")</f>
        <v>2.5</v>
      </c>
      <c r="B302">
        <f>IF(Y302,$I$3*CMOS!N377^$F$3*(1000*CMOS!E377)^$G$3*CMOS!R377^$H$3+$J$3,"")</f>
        <v>15.763638822927003</v>
      </c>
      <c r="Y302" t="b">
        <f>IF(OR(CMOS!N377="",CMOS!R377="",CMOS!E377=""),FALSE,TRUE)</f>
        <v>1</v>
      </c>
    </row>
    <row r="303" spans="1:25">
      <c r="A303">
        <f>IF(Y303,CMOS!G378,"")</f>
        <v>0.92500000000000004</v>
      </c>
      <c r="B303">
        <f>IF(Y303,$I$3*CMOS!N378^$F$3*(1000*CMOS!E378)^$G$3*CMOS!R378^$H$3+$J$3,"")</f>
        <v>5.7086779491777619</v>
      </c>
      <c r="Y303" t="b">
        <f>IF(OR(CMOS!N378="",CMOS!R378="",CMOS!E378=""),FALSE,TRUE)</f>
        <v>1</v>
      </c>
    </row>
    <row r="304" spans="1:25">
      <c r="A304">
        <f>IF(Y304,CMOS!G379,"")</f>
        <v>2.25</v>
      </c>
      <c r="B304">
        <f>IF(Y304,$I$3*CMOS!N379^$F$3*(1000*CMOS!E379)^$G$3*CMOS!R379^$H$3+$J$3,"")</f>
        <v>14.357615079498789</v>
      </c>
      <c r="Y304" t="b">
        <f>IF(OR(CMOS!N379="",CMOS!R379="",CMOS!E379=""),FALSE,TRUE)</f>
        <v>1</v>
      </c>
    </row>
    <row r="305" spans="1:25">
      <c r="A305">
        <f>IF(Y305,CMOS!G380,"")</f>
        <v>2.125</v>
      </c>
      <c r="B305">
        <f>IF(Y305,$I$3*CMOS!N380^$F$3*(1000*CMOS!E380)^$G$3*CMOS!R380^$H$3+$J$3,"")</f>
        <v>15.973789870805518</v>
      </c>
      <c r="Y305" t="b">
        <f>IF(OR(CMOS!N380="",CMOS!R380="",CMOS!E380=""),FALSE,TRUE)</f>
        <v>1</v>
      </c>
    </row>
    <row r="306" spans="1:25">
      <c r="A306">
        <f>IF(Y306,CMOS!G381,"")</f>
        <v>2.125</v>
      </c>
      <c r="B306">
        <f>IF(Y306,$I$3*CMOS!N381^$F$3*(1000*CMOS!E381)^$G$3*CMOS!R381^$H$3+$J$3,"")</f>
        <v>12.88600597185285</v>
      </c>
      <c r="Y306" t="b">
        <f>IF(OR(CMOS!N381="",CMOS!R381="",CMOS!E381=""),FALSE,TRUE)</f>
        <v>1</v>
      </c>
    </row>
    <row r="307" spans="1:25">
      <c r="A307">
        <f>IF(Y307,CMOS!G382,"")</f>
        <v>2.125</v>
      </c>
      <c r="B307">
        <f>IF(Y307,$I$3*CMOS!N382^$F$3*(1000*CMOS!E382)^$G$3*CMOS!R382^$H$3+$J$3,"")</f>
        <v>11.436651457785548</v>
      </c>
      <c r="Y307" t="b">
        <f>IF(OR(CMOS!N382="",CMOS!R382="",CMOS!E382=""),FALSE,TRUE)</f>
        <v>1</v>
      </c>
    </row>
    <row r="308" spans="1:25">
      <c r="A308">
        <f>IF(Y308,CMOS!G383,"")</f>
        <v>2.125</v>
      </c>
      <c r="B308">
        <f>IF(Y308,$I$3*CMOS!N383^$F$3*(1000*CMOS!E383)^$G$3*CMOS!R383^$H$3+$J$3,"")</f>
        <v>10.601464366028075</v>
      </c>
      <c r="Y308" t="b">
        <f>IF(OR(CMOS!N383="",CMOS!R383="",CMOS!E383=""),FALSE,TRUE)</f>
        <v>1</v>
      </c>
    </row>
    <row r="309" spans="1:25">
      <c r="A309">
        <f>IF(Y309,CMOS!G384,"")</f>
        <v>1.4</v>
      </c>
      <c r="B309">
        <f>IF(Y309,$I$3*CMOS!N384^$F$3*(1000*CMOS!E384)^$G$3*CMOS!R384^$H$3+$J$3,"")</f>
        <v>14.969830699305994</v>
      </c>
      <c r="Y309" t="b">
        <f>IF(OR(CMOS!N384="",CMOS!R384="",CMOS!E384=""),FALSE,TRUE)</f>
        <v>1</v>
      </c>
    </row>
    <row r="310" spans="1:25">
      <c r="A310">
        <f>IF(Y310,CMOS!G385,"")</f>
        <v>4.5</v>
      </c>
      <c r="B310">
        <f>IF(Y310,$I$3*CMOS!N385^$F$3*(1000*CMOS!E385)^$G$3*CMOS!R385^$H$3+$J$3,"")</f>
        <v>11.727008333737526</v>
      </c>
      <c r="Y310" t="b">
        <f>IF(OR(CMOS!N385="",CMOS!R385="",CMOS!E385=""),FALSE,TRUE)</f>
        <v>1</v>
      </c>
    </row>
    <row r="311" spans="1:25">
      <c r="A311">
        <f>IF(Y311,CMOS!G386,"")</f>
        <v>60</v>
      </c>
      <c r="B311">
        <f>IF(Y311,$I$3*CMOS!N386^$F$3*(1000*CMOS!E386)^$G$3*CMOS!R386^$H$3+$J$3,"")</f>
        <v>63.831277824075627</v>
      </c>
      <c r="Y311" t="b">
        <f>IF(OR(CMOS!N386="",CMOS!R386="",CMOS!E386=""),FALSE,TRUE)</f>
        <v>1</v>
      </c>
    </row>
    <row r="312" spans="1:25">
      <c r="A312">
        <f>IF(Y312,CMOS!G387,"")</f>
        <v>60</v>
      </c>
      <c r="B312">
        <f>IF(Y312,$I$3*CMOS!N387^$F$3*(1000*CMOS!E387)^$G$3*CMOS!R387^$H$3+$J$3,"")</f>
        <v>52.329696323585964</v>
      </c>
      <c r="Y312" t="b">
        <f>IF(OR(CMOS!N387="",CMOS!R387="",CMOS!E387=""),FALSE,TRUE)</f>
        <v>1</v>
      </c>
    </row>
    <row r="313" spans="1:25">
      <c r="A313">
        <f>IF(Y313,CMOS!G388,"")</f>
        <v>3.9</v>
      </c>
      <c r="B313">
        <f>IF(Y313,$I$3*CMOS!N388^$F$3*(1000*CMOS!E388)^$G$3*CMOS!R388^$H$3+$J$3,"")</f>
        <v>15.129389216739192</v>
      </c>
      <c r="Y313" t="b">
        <f>IF(OR(CMOS!N388="",CMOS!R388="",CMOS!E388=""),FALSE,TRUE)</f>
        <v>1</v>
      </c>
    </row>
    <row r="314" spans="1:25">
      <c r="A314">
        <f>IF(Y314,CMOS!G389,"")</f>
        <v>1.1020000000000001</v>
      </c>
      <c r="B314">
        <f>IF(Y314,$I$3*CMOS!N389^$F$3*(1000*CMOS!E389)^$G$3*CMOS!R389^$H$3+$J$3,"")</f>
        <v>15.390495383898795</v>
      </c>
      <c r="Y314" t="b">
        <f>IF(OR(CMOS!N389="",CMOS!R389="",CMOS!E389=""),FALSE,TRUE)</f>
        <v>1</v>
      </c>
    </row>
    <row r="315" spans="1:25">
      <c r="A315">
        <f>IF(Y315,CMOS!G390,"")</f>
        <v>1</v>
      </c>
      <c r="B315">
        <f>IF(Y315,$I$3*CMOS!N390^$F$3*(1000*CMOS!E390)^$G$3*CMOS!R390^$H$3+$J$3,"")</f>
        <v>12.18169229698703</v>
      </c>
      <c r="Y315" t="b">
        <f>IF(OR(CMOS!N390="",CMOS!R390="",CMOS!E390=""),FALSE,TRUE)</f>
        <v>1</v>
      </c>
    </row>
    <row r="316" spans="1:25">
      <c r="A316">
        <f>IF(Y316,CMOS!G391,"")</f>
        <v>61.5</v>
      </c>
      <c r="B316">
        <f>IF(Y316,$I$3*CMOS!N391^$F$3*(1000*CMOS!E391)^$G$3*CMOS!R391^$H$3+$J$3,"")</f>
        <v>42.359753008618441</v>
      </c>
      <c r="Y316" t="b">
        <f>IF(OR(CMOS!N391="",CMOS!R391="",CMOS!E391=""),FALSE,TRUE)</f>
        <v>1</v>
      </c>
    </row>
    <row r="317" spans="1:25">
      <c r="A317">
        <f>IF(Y317,CMOS!G392,"")</f>
        <v>2.8</v>
      </c>
      <c r="B317">
        <f>IF(Y317,$I$3*CMOS!N392^$F$3*(1000*CMOS!E392)^$G$3*CMOS!R392^$H$3+$J$3,"")</f>
        <v>11.634727445836262</v>
      </c>
      <c r="Y317" t="b">
        <f>IF(OR(CMOS!N392="",CMOS!R392="",CMOS!E392=""),FALSE,TRUE)</f>
        <v>1</v>
      </c>
    </row>
    <row r="318" spans="1:25">
      <c r="A318">
        <f>IF(Y318,CMOS!G393,"")</f>
        <v>3.3</v>
      </c>
      <c r="B318">
        <f>IF(Y318,$I$3*CMOS!N393^$F$3*(1000*CMOS!E393)^$G$3*CMOS!R393^$H$3+$J$3,"")</f>
        <v>21.739120619854464</v>
      </c>
      <c r="Y318" t="b">
        <f>IF(OR(CMOS!N393="",CMOS!R393="",CMOS!E393=""),FALSE,TRUE)</f>
        <v>1</v>
      </c>
    </row>
    <row r="319" spans="1:25">
      <c r="A319">
        <f>IF(Y319,CMOS!G394,"")</f>
        <v>4.5999999999999996</v>
      </c>
      <c r="B319">
        <f>IF(Y319,$I$3*CMOS!N394^$F$3*(1000*CMOS!E394)^$G$3*CMOS!R394^$H$3+$J$3,"")</f>
        <v>26.858804560579141</v>
      </c>
      <c r="Y319" t="b">
        <f>IF(OR(CMOS!N394="",CMOS!R394="",CMOS!E394=""),FALSE,TRUE)</f>
        <v>1</v>
      </c>
    </row>
    <row r="320" spans="1:25">
      <c r="A320">
        <f>IF(Y320,CMOS!G395,"")</f>
        <v>2.0499999999999998</v>
      </c>
      <c r="B320">
        <f>IF(Y320,$I$3*CMOS!N395^$F$3*(1000*CMOS!E395)^$G$3*CMOS!R395^$H$3+$J$3,"")</f>
        <v>28.941489242573208</v>
      </c>
      <c r="Y320" t="b">
        <f>IF(OR(CMOS!N395="",CMOS!R395="",CMOS!E395=""),FALSE,TRUE)</f>
        <v>1</v>
      </c>
    </row>
    <row r="321" spans="1:25">
      <c r="A321">
        <f>IF(Y321,CMOS!G396,"")</f>
        <v>5.65</v>
      </c>
      <c r="B321">
        <f>IF(Y321,$I$3*CMOS!N396^$F$3*(1000*CMOS!E396)^$G$3*CMOS!R396^$H$3+$J$3,"")</f>
        <v>34.850576466289809</v>
      </c>
      <c r="Y321" t="b">
        <f>IF(OR(CMOS!N396="",CMOS!R396="",CMOS!E396=""),FALSE,TRUE)</f>
        <v>1</v>
      </c>
    </row>
    <row r="322" spans="1:25">
      <c r="A322">
        <f>IF(Y322,CMOS!G397,"")</f>
        <v>7.55</v>
      </c>
      <c r="B322">
        <f>IF(Y322,$I$3*CMOS!N397^$F$3*(1000*CMOS!E397)^$G$3*CMOS!R397^$H$3+$J$3,"")</f>
        <v>28.846670859654434</v>
      </c>
      <c r="Y322" t="b">
        <f>IF(OR(CMOS!N397="",CMOS!R397="",CMOS!E397=""),FALSE,TRUE)</f>
        <v>1</v>
      </c>
    </row>
    <row r="323" spans="1:25">
      <c r="A323">
        <f>IF(Y323,CMOS!G398,"")</f>
        <v>4.95</v>
      </c>
      <c r="B323">
        <f>IF(Y323,$I$3*CMOS!N398^$F$3*(1000*CMOS!E398)^$G$3*CMOS!R398^$H$3+$J$3,"")</f>
        <v>36.782674357810819</v>
      </c>
      <c r="Y323" t="b">
        <f>IF(OR(CMOS!N398="",CMOS!R398="",CMOS!E398=""),FALSE,TRUE)</f>
        <v>1</v>
      </c>
    </row>
    <row r="324" spans="1:25">
      <c r="A324">
        <f>IF(Y324,CMOS!G399,"")</f>
        <v>4.95</v>
      </c>
      <c r="B324">
        <f>IF(Y324,$I$3*CMOS!N399^$F$3*(1000*CMOS!E399)^$G$3*CMOS!R399^$H$3+$J$3,"")</f>
        <v>36.131800422990153</v>
      </c>
      <c r="Y324" t="b">
        <f>IF(OR(CMOS!N399="",CMOS!R399="",CMOS!E399=""),FALSE,TRUE)</f>
        <v>1</v>
      </c>
    </row>
    <row r="325" spans="1:25">
      <c r="A325">
        <f>IF(Y325,CMOS!G400,"")</f>
        <v>4.95</v>
      </c>
      <c r="B325">
        <f>IF(Y325,$I$3*CMOS!N400^$F$3*(1000*CMOS!E400)^$G$3*CMOS!R400^$H$3+$J$3,"")</f>
        <v>35.579990702089376</v>
      </c>
      <c r="Y325" t="b">
        <f>IF(OR(CMOS!N400="",CMOS!R400="",CMOS!E400=""),FALSE,TRUE)</f>
        <v>1</v>
      </c>
    </row>
    <row r="326" spans="1:25">
      <c r="A326">
        <f>IF(Y326,CMOS!G401,"")</f>
        <v>4.95</v>
      </c>
      <c r="B326">
        <f>IF(Y326,$I$3*CMOS!N401^$F$3*(1000*CMOS!E401)^$G$3*CMOS!R401^$H$3+$J$3,"")</f>
        <v>33.681722941765997</v>
      </c>
      <c r="Y326" t="b">
        <f>IF(OR(CMOS!N401="",CMOS!R401="",CMOS!E401=""),FALSE,TRUE)</f>
        <v>1</v>
      </c>
    </row>
    <row r="327" spans="1:25">
      <c r="A327">
        <f>IF(Y327,CMOS!G402,"")</f>
        <v>4.95</v>
      </c>
      <c r="B327">
        <f>IF(Y327,$I$3*CMOS!N402^$F$3*(1000*CMOS!E402)^$G$3*CMOS!R402^$H$3+$J$3,"")</f>
        <v>33.671421648352975</v>
      </c>
      <c r="Y327" t="b">
        <f>IF(OR(CMOS!N402="",CMOS!R402="",CMOS!E402=""),FALSE,TRUE)</f>
        <v>1</v>
      </c>
    </row>
    <row r="328" spans="1:25">
      <c r="A328">
        <f>IF(Y328,CMOS!G403,"")</f>
        <v>4.75</v>
      </c>
      <c r="B328">
        <f>IF(Y328,$I$3*CMOS!N403^$F$3*(1000*CMOS!E403)^$G$3*CMOS!R403^$H$3+$J$3,"")</f>
        <v>36.942286980889151</v>
      </c>
      <c r="Y328" t="b">
        <f>IF(OR(CMOS!N403="",CMOS!R403="",CMOS!E403=""),FALSE,TRUE)</f>
        <v>1</v>
      </c>
    </row>
    <row r="329" spans="1:25">
      <c r="A329">
        <f>IF(Y329,CMOS!G404,"")</f>
        <v>0.60599999999999998</v>
      </c>
      <c r="B329">
        <f>IF(Y329,$I$3*CMOS!N404^$F$3*(1000*CMOS!E404)^$G$3*CMOS!R404^$H$3+$J$3,"")</f>
        <v>7.2635409232112913</v>
      </c>
      <c r="Y329" t="b">
        <f>IF(OR(CMOS!N404="",CMOS!R404="",CMOS!E404=""),FALSE,TRUE)</f>
        <v>1</v>
      </c>
    </row>
    <row r="330" spans="1:25">
      <c r="A330">
        <f>IF(Y330,CMOS!G405,"")</f>
        <v>5.55</v>
      </c>
      <c r="B330">
        <f>IF(Y330,$I$3*CMOS!N405^$F$3*(1000*CMOS!E405)^$G$3*CMOS!R405^$H$3+$J$3,"")</f>
        <v>15.335786939632179</v>
      </c>
      <c r="Y330" t="b">
        <f>IF(OR(CMOS!N405="",CMOS!R405="",CMOS!E405=""),FALSE,TRUE)</f>
        <v>1</v>
      </c>
    </row>
    <row r="331" spans="1:25">
      <c r="A331">
        <f>IF(Y331,CMOS!G406,"")</f>
        <v>53.5</v>
      </c>
      <c r="B331">
        <f>IF(Y331,$I$3*CMOS!N406^$F$3*(1000*CMOS!E406)^$G$3*CMOS!R406^$H$3+$J$3,"")</f>
        <v>82.29156373796566</v>
      </c>
      <c r="Y331" t="b">
        <f>IF(OR(CMOS!N406="",CMOS!R406="",CMOS!E406=""),FALSE,TRUE)</f>
        <v>1</v>
      </c>
    </row>
    <row r="332" spans="1:25">
      <c r="A332">
        <f>IF(Y332,CMOS!G407,"")</f>
        <v>1.05</v>
      </c>
      <c r="B332">
        <f>IF(Y332,$I$3*CMOS!N407^$F$3*(1000*CMOS!E407)^$G$3*CMOS!R407^$H$3+$J$3,"")</f>
        <v>21.605987278734485</v>
      </c>
      <c r="Y332" t="b">
        <f>IF(OR(CMOS!N407="",CMOS!R407="",CMOS!E407=""),FALSE,TRUE)</f>
        <v>1</v>
      </c>
    </row>
    <row r="333" spans="1:25">
      <c r="A333">
        <f>IF(Y333,CMOS!G408,"")</f>
        <v>57.75</v>
      </c>
      <c r="B333">
        <f>IF(Y333,$I$3*CMOS!N408^$F$3*(1000*CMOS!E408)^$G$3*CMOS!R408^$H$3+$J$3,"")</f>
        <v>57.435931693587676</v>
      </c>
      <c r="Y333" t="b">
        <f>IF(OR(CMOS!N408="",CMOS!R408="",CMOS!E408=""),FALSE,TRUE)</f>
        <v>1</v>
      </c>
    </row>
    <row r="334" spans="1:25">
      <c r="A334">
        <f>IF(Y334,CMOS!G409,"")</f>
        <v>2.35</v>
      </c>
      <c r="B334">
        <f>IF(Y334,$I$3*CMOS!N409^$F$3*(1000*CMOS!E409)^$G$3*CMOS!R409^$H$3+$J$3,"")</f>
        <v>25.095169005575432</v>
      </c>
      <c r="Y334" t="b">
        <f>IF(OR(CMOS!N409="",CMOS!R409="",CMOS!E409=""),FALSE,TRUE)</f>
        <v>1</v>
      </c>
    </row>
    <row r="335" spans="1:25">
      <c r="A335">
        <f>IF(Y335,CMOS!G410,"")</f>
        <v>2.4</v>
      </c>
      <c r="B335">
        <f>IF(Y335,$I$3*CMOS!N410^$F$3*(1000*CMOS!E410)^$G$3*CMOS!R410^$H$3+$J$3,"")</f>
        <v>17.823444942591163</v>
      </c>
      <c r="Y335" t="b">
        <f>IF(OR(CMOS!N410="",CMOS!R410="",CMOS!E410=""),FALSE,TRUE)</f>
        <v>1</v>
      </c>
    </row>
    <row r="336" spans="1:25">
      <c r="A336">
        <f>IF(Y336,CMOS!G411,"")</f>
        <v>77</v>
      </c>
      <c r="B336">
        <f>IF(Y336,$I$3*CMOS!N411^$F$3*(1000*CMOS!E411)^$G$3*CMOS!R411^$H$3+$J$3,"")</f>
        <v>86.345291553243911</v>
      </c>
      <c r="Y336" t="b">
        <f>IF(OR(CMOS!N411="",CMOS!R411="",CMOS!E411=""),FALSE,TRUE)</f>
        <v>1</v>
      </c>
    </row>
    <row r="337" spans="1:25">
      <c r="A337">
        <f>IF(Y337,CMOS!G412,"")</f>
        <v>93.75</v>
      </c>
      <c r="B337">
        <f>IF(Y337,$I$3*CMOS!N412^$F$3*(1000*CMOS!E412)^$G$3*CMOS!R412^$H$3+$J$3,"")</f>
        <v>50.226912543978543</v>
      </c>
      <c r="Y337" t="b">
        <f>IF(OR(CMOS!N412="",CMOS!R412="",CMOS!E412=""),FALSE,TRUE)</f>
        <v>1</v>
      </c>
    </row>
    <row r="338" spans="1:25">
      <c r="A338">
        <f>IF(Y338,CMOS!G413,"")</f>
        <v>70.5</v>
      </c>
      <c r="B338">
        <f>IF(Y338,$I$3*CMOS!N413^$F$3*(1000*CMOS!E413)^$G$3*CMOS!R413^$H$3+$J$3,"")</f>
        <v>69.063406714272134</v>
      </c>
      <c r="Y338" t="b">
        <f>IF(OR(CMOS!N413="",CMOS!R413="",CMOS!E413=""),FALSE,TRUE)</f>
        <v>1</v>
      </c>
    </row>
    <row r="339" spans="1:25">
      <c r="A339">
        <f>IF(Y339,CMOS!G414,"")</f>
        <v>28.7</v>
      </c>
      <c r="B339">
        <f>IF(Y339,$I$3*CMOS!N414^$F$3*(1000*CMOS!E414)^$G$3*CMOS!R414^$H$3+$J$3,"")</f>
        <v>41.503926862816385</v>
      </c>
      <c r="Y339" t="b">
        <f>IF(OR(CMOS!N414="",CMOS!R414="",CMOS!E414=""),FALSE,TRUE)</f>
        <v>1</v>
      </c>
    </row>
    <row r="340" spans="1:25">
      <c r="A340">
        <f>IF(Y340,CMOS!G415,"")</f>
        <v>26.5</v>
      </c>
      <c r="B340">
        <f>IF(Y340,$I$3*CMOS!N415^$F$3*(1000*CMOS!E415)^$G$3*CMOS!R415^$H$3+$J$3,"")</f>
        <v>35.053072714696569</v>
      </c>
      <c r="Y340" t="b">
        <f>IF(OR(CMOS!N415="",CMOS!R415="",CMOS!E415=""),FALSE,TRUE)</f>
        <v>1</v>
      </c>
    </row>
    <row r="341" spans="1:25">
      <c r="A341">
        <f>IF(Y341,CMOS!G416,"")</f>
        <v>31.5</v>
      </c>
      <c r="B341">
        <f>IF(Y341,$I$3*CMOS!N416^$F$3*(1000*CMOS!E416)^$G$3*CMOS!R416^$H$3+$J$3,"")</f>
        <v>34.578897129884041</v>
      </c>
      <c r="Y341" t="b">
        <f>IF(OR(CMOS!N416="",CMOS!R416="",CMOS!E416=""),FALSE,TRUE)</f>
        <v>1</v>
      </c>
    </row>
    <row r="342" spans="1:25">
      <c r="A342">
        <f>IF(Y342,CMOS!G417,"")</f>
        <v>27</v>
      </c>
      <c r="B342">
        <f>IF(Y342,$I$3*CMOS!N417^$F$3*(1000*CMOS!E417)^$G$3*CMOS!R417^$H$3+$J$3,"")</f>
        <v>41.590853252639093</v>
      </c>
      <c r="Y342" t="b">
        <f>IF(OR(CMOS!N417="",CMOS!R417="",CMOS!E417=""),FALSE,TRUE)</f>
        <v>1</v>
      </c>
    </row>
    <row r="343" spans="1:25">
      <c r="A343">
        <f>IF(Y343,CMOS!G418,"")</f>
        <v>27</v>
      </c>
      <c r="B343">
        <f>IF(Y343,$I$3*CMOS!N418^$F$3*(1000*CMOS!E418)^$G$3*CMOS!R418^$H$3+$J$3,"")</f>
        <v>40.528655164127215</v>
      </c>
      <c r="Y343" t="b">
        <f>IF(OR(CMOS!N418="",CMOS!R418="",CMOS!E418=""),FALSE,TRUE)</f>
        <v>1</v>
      </c>
    </row>
    <row r="344" spans="1:25">
      <c r="A344">
        <f>IF(Y344,CMOS!G419,"")</f>
        <v>30</v>
      </c>
      <c r="B344">
        <f>IF(Y344,$I$3*CMOS!N419^$F$3*(1000*CMOS!E419)^$G$3*CMOS!R419^$H$3+$J$3,"")</f>
        <v>66.095480491465693</v>
      </c>
      <c r="Y344" t="b">
        <f>IF(OR(CMOS!N419="",CMOS!R419="",CMOS!E419=""),FALSE,TRUE)</f>
        <v>1</v>
      </c>
    </row>
    <row r="345" spans="1:25">
      <c r="A345">
        <f>IF(Y345,CMOS!G420,"")</f>
        <v>30</v>
      </c>
      <c r="B345">
        <f>IF(Y345,$I$3*CMOS!N420^$F$3*(1000*CMOS!E420)^$G$3*CMOS!R420^$H$3+$J$3,"")</f>
        <v>65.915906364620909</v>
      </c>
      <c r="Y345" t="b">
        <f>IF(OR(CMOS!N420="",CMOS!R420="",CMOS!E420=""),FALSE,TRUE)</f>
        <v>1</v>
      </c>
    </row>
    <row r="346" spans="1:25">
      <c r="A346">
        <f>IF(Y346,CMOS!G421,"")</f>
        <v>57</v>
      </c>
      <c r="B346">
        <f>IF(Y346,$I$3*CMOS!N421^$F$3*(1000*CMOS!E421)^$G$3*CMOS!R421^$H$3+$J$3,"")</f>
        <v>63.252120107727606</v>
      </c>
      <c r="Y346" t="b">
        <f>IF(OR(CMOS!N421="",CMOS!R421="",CMOS!E421=""),FALSE,TRUE)</f>
        <v>1</v>
      </c>
    </row>
    <row r="347" spans="1:25">
      <c r="A347" t="str">
        <f>IF(Y347,CMOS!G422,"")</f>
        <v/>
      </c>
      <c r="B347" t="str">
        <f>IF(Y347,$I$3*CMOS!N422^$F$3*(1000*CMOS!E422)^$G$3*CMOS!R422^$H$3+$J$3,"")</f>
        <v/>
      </c>
      <c r="Y347" t="b">
        <f>IF(OR(CMOS!N422="",CMOS!R422="",CMOS!E422=""),FALSE,TRUE)</f>
        <v>0</v>
      </c>
    </row>
    <row r="348" spans="1:25">
      <c r="A348">
        <f>IF(Y348,CMOS!G423,"")</f>
        <v>28</v>
      </c>
      <c r="B348">
        <f>IF(Y348,$I$3*CMOS!N423^$F$3*(1000*CMOS!E423)^$G$3*CMOS!R423^$H$3+$J$3,"")</f>
        <v>72.750953404191549</v>
      </c>
      <c r="Y348" t="b">
        <f>IF(OR(CMOS!N423="",CMOS!R423="",CMOS!E423=""),FALSE,TRUE)</f>
        <v>1</v>
      </c>
    </row>
    <row r="349" spans="1:25">
      <c r="A349" t="str">
        <f>IF(Y349,CMOS!G424,"")</f>
        <v/>
      </c>
      <c r="B349" t="str">
        <f>IF(Y349,$I$3*CMOS!N424^$F$3*(1000*CMOS!E424)^$G$3*CMOS!R424^$H$3+$J$3,"")</f>
        <v/>
      </c>
      <c r="Y349" t="b">
        <f>IF(OR(CMOS!N424="",CMOS!R424="",CMOS!E424=""),FALSE,TRUE)</f>
        <v>0</v>
      </c>
    </row>
    <row r="350" spans="1:25">
      <c r="A350" t="str">
        <f>IF(Y350,CMOS!G425,"")</f>
        <v/>
      </c>
      <c r="B350" t="str">
        <f>IF(Y350,$I$3*CMOS!N425^$F$3*(1000*CMOS!E425)^$G$3*CMOS!R425^$H$3+$J$3,"")</f>
        <v/>
      </c>
      <c r="Y350" t="b">
        <f>IF(OR(CMOS!N425="",CMOS!R425="",CMOS!E425=""),FALSE,TRUE)</f>
        <v>0</v>
      </c>
    </row>
    <row r="351" spans="1:25">
      <c r="A351">
        <f>IF(Y351,CMOS!G426,"")</f>
        <v>5.5</v>
      </c>
      <c r="B351">
        <f>IF(Y351,$I$3*CMOS!N426^$F$3*(1000*CMOS!E426)^$G$3*CMOS!R426^$H$3+$J$3,"")</f>
        <v>15.613807989489768</v>
      </c>
      <c r="Y351" t="b">
        <f>IF(OR(CMOS!N426="",CMOS!R426="",CMOS!E426=""),FALSE,TRUE)</f>
        <v>1</v>
      </c>
    </row>
    <row r="352" spans="1:25">
      <c r="A352">
        <f>IF(Y352,CMOS!G427,"")</f>
        <v>5.5</v>
      </c>
      <c r="B352">
        <f>IF(Y352,$I$3*CMOS!N427^$F$3*(1000*CMOS!E427)^$G$3*CMOS!R427^$H$3+$J$3,"")</f>
        <v>21.950237087369569</v>
      </c>
      <c r="Y352" t="b">
        <f>IF(OR(CMOS!N427="",CMOS!R427="",CMOS!E427=""),FALSE,TRUE)</f>
        <v>1</v>
      </c>
    </row>
    <row r="353" spans="1:25">
      <c r="A353">
        <f>IF(Y353,CMOS!G428,"")</f>
        <v>5.5</v>
      </c>
      <c r="B353">
        <f>IF(Y353,$I$3*CMOS!N428^$F$3*(1000*CMOS!E428)^$G$3*CMOS!R428^$H$3+$J$3,"")</f>
        <v>51.106457782574921</v>
      </c>
      <c r="Y353" t="b">
        <f>IF(OR(CMOS!N428="",CMOS!R428="",CMOS!E428=""),FALSE,TRUE)</f>
        <v>1</v>
      </c>
    </row>
    <row r="354" spans="1:25">
      <c r="A354">
        <f>IF(Y354,CMOS!G429,"")</f>
        <v>3.5</v>
      </c>
      <c r="B354">
        <f>IF(Y354,$I$3*CMOS!N429^$F$3*(1000*CMOS!E429)^$G$3*CMOS!R429^$H$3+$J$3,"")</f>
        <v>64.249960339522318</v>
      </c>
      <c r="Y354" t="b">
        <f>IF(OR(CMOS!N429="",CMOS!R429="",CMOS!E429=""),FALSE,TRUE)</f>
        <v>1</v>
      </c>
    </row>
    <row r="355" spans="1:25">
      <c r="A355" t="str">
        <f>IF(Y355,CMOS!G462,"")</f>
        <v/>
      </c>
      <c r="B355" t="str">
        <f>IF(Y355,$I$3*CMOS!N462^$F$3*(1000*CMOS!E462)^$G$3*CMOS!R462^$H$3+$J$3,"")</f>
        <v/>
      </c>
      <c r="Y355" t="b">
        <f>IF(OR(CMOS!N462="",CMOS!R462="",CMOS!E462=""),FALSE,TRUE)</f>
        <v>0</v>
      </c>
    </row>
    <row r="356" spans="1:25">
      <c r="A356">
        <f>IF(Y356,CMOS!G463,"")</f>
        <v>2.1</v>
      </c>
      <c r="B356">
        <f>IF(Y356,$I$3*CMOS!N463^$F$3*(1000*CMOS!E463)^$G$3*CMOS!R463^$H$3+$J$3,"")</f>
        <v>14.07761799147373</v>
      </c>
      <c r="Y356" t="b">
        <f>IF(OR(CMOS!N463="",CMOS!R463="",CMOS!E463=""),FALSE,TRUE)</f>
        <v>1</v>
      </c>
    </row>
    <row r="357" spans="1:25">
      <c r="A357">
        <f>IF(Y357,CMOS!G464,"")</f>
        <v>0.435</v>
      </c>
      <c r="B357">
        <f>IF(Y357,$I$3*CMOS!N464^$F$3*(1000*CMOS!E464)^$G$3*CMOS!R464^$H$3+$J$3,"")</f>
        <v>12.138403757934757</v>
      </c>
      <c r="Y357" t="b">
        <f>IF(OR(CMOS!N464="",CMOS!R464="",CMOS!E464=""),FALSE,TRUE)</f>
        <v>1</v>
      </c>
    </row>
    <row r="358" spans="1:25">
      <c r="A358" t="str">
        <f>IF(Y358,CMOS!G465,"")</f>
        <v/>
      </c>
      <c r="B358" t="str">
        <f>IF(Y358,$I$3*CMOS!N465^$F$3*(1000*CMOS!E465)^$G$3*CMOS!R465^$H$3+$J$3,"")</f>
        <v/>
      </c>
      <c r="Y358" t="b">
        <f>IF(OR(CMOS!N465="",CMOS!R465="",CMOS!E465=""),FALSE,TRUE)</f>
        <v>0</v>
      </c>
    </row>
    <row r="359" spans="1:25">
      <c r="A359">
        <f>IF(Y359,CMOS!G466,"")</f>
        <v>6</v>
      </c>
      <c r="B359">
        <f>IF(Y359,$I$3*CMOS!N466^$F$3*(1000*CMOS!E466)^$G$3*CMOS!R466^$H$3+$J$3,"")</f>
        <v>24.26396213067132</v>
      </c>
      <c r="Y359" t="b">
        <f>IF(OR(CMOS!N466="",CMOS!R466="",CMOS!E466=""),FALSE,TRUE)</f>
        <v>1</v>
      </c>
    </row>
    <row r="360" spans="1:25">
      <c r="A360">
        <f>IF(Y360,CMOS!G467,"")</f>
        <v>13.1</v>
      </c>
      <c r="B360">
        <f>IF(Y360,$I$3*CMOS!N467^$F$3*(1000*CMOS!E467)^$G$3*CMOS!R467^$H$3+$J$3,"")</f>
        <v>19.142688872408588</v>
      </c>
      <c r="Y360" t="b">
        <f>IF(OR(CMOS!N467="",CMOS!R467="",CMOS!E467=""),FALSE,TRUE)</f>
        <v>1</v>
      </c>
    </row>
    <row r="361" spans="1:25">
      <c r="A361">
        <f>IF(Y361,CMOS!G468,"")</f>
        <v>0.30499999999999999</v>
      </c>
      <c r="B361">
        <f>IF(Y361,$I$3*CMOS!N468^$F$3*(1000*CMOS!E468)^$G$3*CMOS!R468^$H$3+$J$3,"")</f>
        <v>11.673491537051291</v>
      </c>
      <c r="Y361" t="b">
        <f>IF(OR(CMOS!N468="",CMOS!R468="",CMOS!E468=""),FALSE,TRUE)</f>
        <v>1</v>
      </c>
    </row>
    <row r="362" spans="1:25">
      <c r="A362">
        <f>IF(Y362,CMOS!G469,"")</f>
        <v>2.625</v>
      </c>
      <c r="B362">
        <f>IF(Y362,$I$3*CMOS!N469^$F$3*(1000*CMOS!E469)^$G$3*CMOS!R469^$H$3+$J$3,"")</f>
        <v>26.432757942586722</v>
      </c>
      <c r="Y362" t="b">
        <f>IF(OR(CMOS!N469="",CMOS!R469="",CMOS!E469=""),FALSE,TRUE)</f>
        <v>1</v>
      </c>
    </row>
    <row r="363" spans="1:25">
      <c r="A363">
        <f>IF(Y363,CMOS!G470,"")</f>
        <v>5.8</v>
      </c>
      <c r="B363">
        <f>IF(Y363,$I$3*CMOS!N470^$F$3*(1000*CMOS!E470)^$G$3*CMOS!R470^$H$3+$J$3,"")</f>
        <v>22.294475624174598</v>
      </c>
      <c r="Y363" t="b">
        <f>IF(OR(CMOS!N470="",CMOS!R470="",CMOS!E470=""),FALSE,TRUE)</f>
        <v>1</v>
      </c>
    </row>
    <row r="364" spans="1:25">
      <c r="A364">
        <f>IF(Y364,CMOS!G471,"")</f>
        <v>38</v>
      </c>
      <c r="B364">
        <f>IF(Y364,$I$3*CMOS!N471^$F$3*(1000*CMOS!E471)^$G$3*CMOS!R471^$H$3+$J$3,"")</f>
        <v>35.361174423354356</v>
      </c>
      <c r="Y364" t="b">
        <f>IF(OR(CMOS!N471="",CMOS!R471="",CMOS!E471=""),FALSE,TRUE)</f>
        <v>1</v>
      </c>
    </row>
    <row r="365" spans="1:25">
      <c r="A365">
        <f>IF(Y365,CMOS!G472,"")</f>
        <v>6.5</v>
      </c>
      <c r="B365">
        <f>IF(Y365,$I$3*CMOS!N472^$F$3*(1000*CMOS!E472)^$G$3*CMOS!R472^$H$3+$J$3,"")</f>
        <v>23.482772841345454</v>
      </c>
      <c r="Y365" t="b">
        <f>IF(OR(CMOS!N472="",CMOS!R472="",CMOS!E472=""),FALSE,TRUE)</f>
        <v>1</v>
      </c>
    </row>
    <row r="366" spans="1:25">
      <c r="A366">
        <f>IF(Y366,CMOS!G473,"")</f>
        <v>71.5</v>
      </c>
      <c r="B366">
        <f>IF(Y366,$I$3*CMOS!N473^$F$3*(1000*CMOS!E473)^$G$3*CMOS!R473^$H$3+$J$3,"")</f>
        <v>95.245594622141695</v>
      </c>
      <c r="Y366" t="b">
        <f>IF(OR(CMOS!N473="",CMOS!R473="",CMOS!E473=""),FALSE,TRUE)</f>
        <v>1</v>
      </c>
    </row>
    <row r="367" spans="1:25">
      <c r="A367">
        <f>IF(Y367,CMOS!G474,"")</f>
        <v>57.9</v>
      </c>
      <c r="B367">
        <f>IF(Y367,$I$3*CMOS!N474^$F$3*(1000*CMOS!E474)^$G$3*CMOS!R474^$H$3+$J$3,"")</f>
        <v>52.200209467543232</v>
      </c>
      <c r="Y367" t="b">
        <f>IF(OR(CMOS!N474="",CMOS!R474="",CMOS!E474=""),FALSE,TRUE)</f>
        <v>1</v>
      </c>
    </row>
    <row r="368" spans="1:25">
      <c r="A368">
        <f>IF(Y368,CMOS!G475,"")</f>
        <v>57.75</v>
      </c>
      <c r="B368">
        <f>IF(Y368,$I$3*CMOS!N475^$F$3*(1000*CMOS!E475)^$G$3*CMOS!R475^$H$3+$J$3,"")</f>
        <v>46.587478769501402</v>
      </c>
      <c r="Y368" t="b">
        <f>IF(OR(CMOS!N475="",CMOS!R475="",CMOS!E475=""),FALSE,TRUE)</f>
        <v>1</v>
      </c>
    </row>
    <row r="369" spans="1:25">
      <c r="A369">
        <f>IF(Y369,CMOS!G476,"")</f>
        <v>5.8</v>
      </c>
      <c r="B369">
        <f>IF(Y369,$I$3*CMOS!N476^$F$3*(1000*CMOS!E476)^$G$3*CMOS!R476^$H$3+$J$3,"")</f>
        <v>28.873346675722349</v>
      </c>
      <c r="Y369" t="b">
        <f>IF(OR(CMOS!N476="",CMOS!R476="",CMOS!E476=""),FALSE,TRUE)</f>
        <v>1</v>
      </c>
    </row>
    <row r="370" spans="1:25">
      <c r="A370">
        <f>IF(Y370,CMOS!G477,"")</f>
        <v>24.5</v>
      </c>
      <c r="B370">
        <f>IF(Y370,$I$3*CMOS!N477^$F$3*(1000*CMOS!E477)^$G$3*CMOS!R477^$H$3+$J$3,"")</f>
        <v>33.390400650224919</v>
      </c>
      <c r="Y370" t="b">
        <f>IF(OR(CMOS!N477="",CMOS!R477="",CMOS!E477=""),FALSE,TRUE)</f>
        <v>1</v>
      </c>
    </row>
    <row r="371" spans="1:25">
      <c r="A371">
        <f>IF(Y371,CMOS!G478,"")</f>
        <v>23.45</v>
      </c>
      <c r="B371">
        <f>IF(Y371,$I$3*CMOS!N478^$F$3*(1000*CMOS!E478)^$G$3*CMOS!R478^$H$3+$J$3,"")</f>
        <v>30.750186545486212</v>
      </c>
      <c r="Y371" t="b">
        <f>IF(OR(CMOS!N478="",CMOS!R478="",CMOS!E478=""),FALSE,TRUE)</f>
        <v>1</v>
      </c>
    </row>
    <row r="372" spans="1:25">
      <c r="A372">
        <f>IF(Y372,CMOS!G479,"")</f>
        <v>36.75</v>
      </c>
      <c r="B372">
        <f>IF(Y372,$I$3*CMOS!N479^$F$3*(1000*CMOS!E479)^$G$3*CMOS!R479^$H$3+$J$3,"")</f>
        <v>45.662698917163297</v>
      </c>
      <c r="Y372" t="b">
        <f>IF(OR(CMOS!N479="",CMOS!R479="",CMOS!E479=""),FALSE,TRUE)</f>
        <v>1</v>
      </c>
    </row>
    <row r="373" spans="1:25">
      <c r="A373">
        <f>IF(Y373,CMOS!G480,"")</f>
        <v>36.5</v>
      </c>
      <c r="B373">
        <f>IF(Y373,$I$3*CMOS!N480^$F$3*(1000*CMOS!E480)^$G$3*CMOS!R480^$H$3+$J$3,"")</f>
        <v>40.24935574941793</v>
      </c>
      <c r="Y373" t="b">
        <f>IF(OR(CMOS!N480="",CMOS!R480="",CMOS!E480=""),FALSE,TRUE)</f>
        <v>1</v>
      </c>
    </row>
    <row r="374" spans="1:25">
      <c r="A374">
        <f>IF(Y374,CMOS!G481,"")</f>
        <v>39.65</v>
      </c>
      <c r="B374">
        <f>IF(Y374,$I$3*CMOS!N481^$F$3*(1000*CMOS!E481)^$G$3*CMOS!R481^$H$3+$J$3,"")</f>
        <v>35.121934951315851</v>
      </c>
      <c r="Y374" t="b">
        <f>IF(OR(CMOS!N481="",CMOS!R481="",CMOS!E481=""),FALSE,TRUE)</f>
        <v>1</v>
      </c>
    </row>
    <row r="375" spans="1:25">
      <c r="A375" t="str">
        <f>IF(Y375,CMOS!G482,"")</f>
        <v/>
      </c>
      <c r="B375" t="str">
        <f>IF(Y375,$I$3*CMOS!N482^$F$3*(1000*CMOS!E482)^$G$3*CMOS!R482^$H$3+$J$3,"")</f>
        <v/>
      </c>
      <c r="Y375" t="b">
        <f>IF(OR(CMOS!N482="",CMOS!R482="",CMOS!E482=""),FALSE,TRUE)</f>
        <v>0</v>
      </c>
    </row>
    <row r="376" spans="1:25">
      <c r="A376">
        <f>IF(Y376,CMOS!G483,"")</f>
        <v>98</v>
      </c>
      <c r="B376">
        <f>IF(Y376,$I$3*CMOS!N483^$F$3*(1000*CMOS!E483)^$G$3*CMOS!R483^$H$3+$J$3,"")</f>
        <v>80.975044824027663</v>
      </c>
      <c r="Y376" t="b">
        <f>IF(OR(CMOS!N483="",CMOS!R483="",CMOS!E483=""),FALSE,TRUE)</f>
        <v>1</v>
      </c>
    </row>
    <row r="377" spans="1:25">
      <c r="A377">
        <f>IF(Y377,CMOS!G484,"")</f>
        <v>58</v>
      </c>
      <c r="B377">
        <f>IF(Y377,$I$3*CMOS!N484^$F$3*(1000*CMOS!E484)^$G$3*CMOS!R484^$H$3+$J$3,"")</f>
        <v>62.771704691643791</v>
      </c>
      <c r="Y377" t="b">
        <f>IF(OR(CMOS!N484="",CMOS!R484="",CMOS!E484=""),FALSE,TRUE)</f>
        <v>1</v>
      </c>
    </row>
    <row r="378" spans="1:25">
      <c r="A378">
        <f>IF(Y378,CMOS!G485,"")</f>
        <v>27</v>
      </c>
      <c r="B378">
        <f>IF(Y378,$I$3*CMOS!N485^$F$3*(1000*CMOS!E485)^$G$3*CMOS!R485^$H$3+$J$3,"")</f>
        <v>55.029449822319421</v>
      </c>
      <c r="Y378" t="b">
        <f>IF(OR(CMOS!N485="",CMOS!R485="",CMOS!E485=""),FALSE,TRUE)</f>
        <v>1</v>
      </c>
    </row>
    <row r="379" spans="1:25">
      <c r="A379">
        <f>IF(Y379,CMOS!G486,"")</f>
        <v>4.7750000000000004</v>
      </c>
      <c r="B379">
        <f>IF(Y379,$I$3*CMOS!N486^$F$3*(1000*CMOS!E486)^$G$3*CMOS!R486^$H$3+$J$3,"")</f>
        <v>17.054916042747212</v>
      </c>
      <c r="Y379" t="b">
        <f>IF(OR(CMOS!N486="",CMOS!R486="",CMOS!E486=""),FALSE,TRUE)</f>
        <v>1</v>
      </c>
    </row>
    <row r="380" spans="1:25">
      <c r="A380">
        <f>IF(Y380,CMOS!G487,"")</f>
        <v>61.5</v>
      </c>
      <c r="B380">
        <f>IF(Y380,$I$3*CMOS!N487^$F$3*(1000*CMOS!E487)^$G$3*CMOS!R487^$H$3+$J$3,"")</f>
        <v>60.121769718734257</v>
      </c>
      <c r="Y380" t="b">
        <f>IF(OR(CMOS!N487="",CMOS!R487="",CMOS!E487=""),FALSE,TRUE)</f>
        <v>1</v>
      </c>
    </row>
    <row r="381" spans="1:25">
      <c r="A381">
        <f>IF(Y381,CMOS!G488,"")</f>
        <v>2.5</v>
      </c>
      <c r="B381">
        <f>IF(Y381,$I$3*CMOS!N488^$F$3*(1000*CMOS!E488)^$G$3*CMOS!R488^$H$3+$J$3,"")</f>
        <v>18.009417821481978</v>
      </c>
      <c r="Y381" t="b">
        <f>IF(OR(CMOS!N488="",CMOS!R488="",CMOS!E488=""),FALSE,TRUE)</f>
        <v>1</v>
      </c>
    </row>
    <row r="382" spans="1:25">
      <c r="A382">
        <f>IF(Y382,CMOS!G489,"")</f>
        <v>5</v>
      </c>
      <c r="B382">
        <f>IF(Y382,$I$3*CMOS!N489^$F$3*(1000*CMOS!E489)^$G$3*CMOS!R489^$H$3+$J$3,"")</f>
        <v>10.584445322428003</v>
      </c>
      <c r="Y382" t="b">
        <f>IF(OR(CMOS!N489="",CMOS!R489="",CMOS!E489=""),FALSE,TRUE)</f>
        <v>1</v>
      </c>
    </row>
    <row r="383" spans="1:25">
      <c r="A383">
        <f>IF(Y383,CMOS!G490,"")</f>
        <v>2.65</v>
      </c>
      <c r="B383">
        <f>IF(Y383,$I$3*CMOS!N490^$F$3*(1000*CMOS!E490)^$G$3*CMOS!R490^$H$3+$J$3,"")</f>
        <v>31.665000800774063</v>
      </c>
      <c r="Y383" t="b">
        <f>IF(OR(CMOS!N490="",CMOS!R490="",CMOS!E490=""),FALSE,TRUE)</f>
        <v>1</v>
      </c>
    </row>
    <row r="384" spans="1:25">
      <c r="A384">
        <f>IF(Y384,CMOS!G491,"")</f>
        <v>6.85</v>
      </c>
      <c r="B384">
        <f>IF(Y384,$I$3*CMOS!N491^$F$3*(1000*CMOS!E491)^$G$3*CMOS!R491^$H$3+$J$3,"")</f>
        <v>18.454598996701559</v>
      </c>
      <c r="Y384" t="b">
        <f>IF(OR(CMOS!N491="",CMOS!R491="",CMOS!E491=""),FALSE,TRUE)</f>
        <v>1</v>
      </c>
    </row>
    <row r="385" spans="1:25">
      <c r="A385">
        <f>IF(Y385,CMOS!G492,"")</f>
        <v>4.99</v>
      </c>
      <c r="B385">
        <f>IF(Y385,$I$3*CMOS!N492^$F$3*(1000*CMOS!E492)^$G$3*CMOS!R492^$H$3+$J$3,"")</f>
        <v>17.125696920365939</v>
      </c>
      <c r="Y385" t="b">
        <f>IF(OR(CMOS!N492="",CMOS!R492="",CMOS!E492=""),FALSE,TRUE)</f>
        <v>1</v>
      </c>
    </row>
    <row r="386" spans="1:25">
      <c r="A386">
        <f>IF(Y386,CMOS!G493,"")</f>
        <v>26.5</v>
      </c>
      <c r="B386">
        <f>IF(Y386,$I$3*CMOS!N493^$F$3*(1000*CMOS!E493)^$G$3*CMOS!R493^$H$3+$J$3,"")</f>
        <v>22.931887031255595</v>
      </c>
      <c r="Y386" t="b">
        <f>IF(OR(CMOS!N493="",CMOS!R493="",CMOS!E493=""),FALSE,TRUE)</f>
        <v>1</v>
      </c>
    </row>
    <row r="387" spans="1:25">
      <c r="A387">
        <f>IF(Y387,CMOS!G494,"")</f>
        <v>19.399999999999999</v>
      </c>
      <c r="B387">
        <f>IF(Y387,$I$3*CMOS!N494^$F$3*(1000*CMOS!E494)^$G$3*CMOS!R494^$H$3+$J$3,"")</f>
        <v>24.28873160521459</v>
      </c>
      <c r="Y387" t="b">
        <f>IF(OR(CMOS!N494="",CMOS!R494="",CMOS!E494=""),FALSE,TRUE)</f>
        <v>1</v>
      </c>
    </row>
    <row r="388" spans="1:25">
      <c r="A388">
        <f>IF(Y388,CMOS!G495,"")</f>
        <v>24</v>
      </c>
      <c r="B388">
        <f>IF(Y388,$I$3*CMOS!N495^$F$3*(1000*CMOS!E495)^$G$3*CMOS!R495^$H$3+$J$3,"")</f>
        <v>45.38926063360671</v>
      </c>
      <c r="Y388" t="b">
        <f>IF(OR(CMOS!N495="",CMOS!R495="",CMOS!E495=""),FALSE,TRUE)</f>
        <v>1</v>
      </c>
    </row>
    <row r="389" spans="1:25">
      <c r="A389">
        <f>IF(Y389,CMOS!G496,"")</f>
        <v>24</v>
      </c>
      <c r="B389">
        <f>IF(Y389,$I$3*CMOS!N496^$F$3*(1000*CMOS!E496)^$G$3*CMOS!R496^$H$3+$J$3,"")</f>
        <v>39.212981020197532</v>
      </c>
      <c r="Y389" t="b">
        <f>IF(OR(CMOS!N496="",CMOS!R496="",CMOS!E496=""),FALSE,TRUE)</f>
        <v>1</v>
      </c>
    </row>
    <row r="390" spans="1:25">
      <c r="A390">
        <f>IF(Y390,CMOS!G497,"")</f>
        <v>141.25</v>
      </c>
      <c r="B390">
        <f>IF(Y390,$I$3*CMOS!N497^$F$3*(1000*CMOS!E497)^$G$3*CMOS!R497^$H$3+$J$3,"")</f>
        <v>136.00327351766239</v>
      </c>
      <c r="Y390" t="b">
        <f>IF(OR(CMOS!N497="",CMOS!R497="",CMOS!E497=""),FALSE,TRUE)</f>
        <v>1</v>
      </c>
    </row>
    <row r="391" spans="1:25">
      <c r="A391">
        <f>IF(Y391,CMOS!G498,"")</f>
        <v>9.25</v>
      </c>
      <c r="B391">
        <f>IF(Y391,$I$3*CMOS!N498^$F$3*(1000*CMOS!E498)^$G$3*CMOS!R498^$H$3+$J$3,"")</f>
        <v>55.265440486919147</v>
      </c>
      <c r="Y391" t="b">
        <f>IF(OR(CMOS!N498="",CMOS!R498="",CMOS!E498=""),FALSE,TRUE)</f>
        <v>1</v>
      </c>
    </row>
    <row r="392" spans="1:25">
      <c r="A392">
        <f>IF(Y392,CMOS!G499,"")</f>
        <v>27.9</v>
      </c>
      <c r="B392">
        <f>IF(Y392,$I$3*CMOS!N499^$F$3*(1000*CMOS!E499)^$G$3*CMOS!R499^$H$3+$J$3,"")</f>
        <v>26.935071922276212</v>
      </c>
      <c r="Y392" t="b">
        <f>IF(OR(CMOS!N499="",CMOS!R499="",CMOS!E499=""),FALSE,TRUE)</f>
        <v>1</v>
      </c>
    </row>
    <row r="393" spans="1:25">
      <c r="A393">
        <f>IF(Y393,CMOS!G500,"")</f>
        <v>24</v>
      </c>
      <c r="B393">
        <f>IF(Y393,$I$3*CMOS!N500^$F$3*(1000*CMOS!E500)^$G$3*CMOS!R500^$H$3+$J$3,"")</f>
        <v>99.889769245838778</v>
      </c>
      <c r="Y393" t="b">
        <f>IF(OR(CMOS!N500="",CMOS!R500="",CMOS!E500=""),FALSE,TRUE)</f>
        <v>1</v>
      </c>
    </row>
    <row r="394" spans="1:25">
      <c r="A394">
        <f>IF(Y394,CMOS!G501,"")</f>
        <v>33</v>
      </c>
      <c r="B394">
        <f>IF(Y394,$I$3*CMOS!N501^$F$3*(1000*CMOS!E501)^$G$3*CMOS!R501^$H$3+$J$3,"")</f>
        <v>83.004451029830207</v>
      </c>
      <c r="Y394" t="b">
        <f>IF(OR(CMOS!N501="",CMOS!R501="",CMOS!E501=""),FALSE,TRUE)</f>
        <v>1</v>
      </c>
    </row>
    <row r="395" spans="1:25">
      <c r="A395">
        <f>IF(Y395,CMOS!G502,"")</f>
        <v>50</v>
      </c>
      <c r="B395">
        <f>IF(Y395,$I$3*CMOS!N502^$F$3*(1000*CMOS!E502)^$G$3*CMOS!R502^$H$3+$J$3,"")</f>
        <v>105.49125862927613</v>
      </c>
      <c r="Y395" t="b">
        <f>IF(OR(CMOS!N502="",CMOS!R502="",CMOS!E502=""),FALSE,TRUE)</f>
        <v>1</v>
      </c>
    </row>
    <row r="396" spans="1:25">
      <c r="A396">
        <f>IF(Y396,CMOS!G503,"")</f>
        <v>76.25</v>
      </c>
      <c r="B396">
        <f>IF(Y396,$I$3*CMOS!N503^$F$3*(1000*CMOS!E503)^$G$3*CMOS!R503^$H$3+$J$3,"")</f>
        <v>79.405417716028012</v>
      </c>
      <c r="Y396" t="b">
        <f>IF(OR(CMOS!N503="",CMOS!R503="",CMOS!E503=""),FALSE,TRUE)</f>
        <v>1</v>
      </c>
    </row>
    <row r="397" spans="1:25">
      <c r="A397" t="str">
        <f>IF(Y397,CMOS!G536,"")</f>
        <v/>
      </c>
      <c r="B397" t="str">
        <f>IF(Y397,$I$3*CMOS!N536^$F$3*(1000*CMOS!E536)^$G$3*CMOS!R536^$H$3+$J$3,"")</f>
        <v/>
      </c>
      <c r="Y397" t="b">
        <f>IF(OR(CMOS!N536="",CMOS!R536="",CMOS!E536=""),FALSE,TRUE)</f>
        <v>0</v>
      </c>
    </row>
    <row r="398" spans="1:25">
      <c r="A398">
        <f>IF(Y398,CMOS!G537,"")</f>
        <v>5.7750000000000004</v>
      </c>
      <c r="B398">
        <f>IF(Y398,$I$3*CMOS!N537^$F$3*(1000*CMOS!E537)^$G$3*CMOS!R537^$H$3+$J$3,"")</f>
        <v>26.378711881400374</v>
      </c>
      <c r="Y398" t="b">
        <f>IF(OR(CMOS!N537="",CMOS!R537="",CMOS!E537=""),FALSE,TRUE)</f>
        <v>1</v>
      </c>
    </row>
    <row r="399" spans="1:25">
      <c r="A399">
        <f>IF(Y399,CMOS!G538,"")</f>
        <v>23.25</v>
      </c>
      <c r="B399">
        <f>IF(Y399,$I$3*CMOS!N538^$F$3*(1000*CMOS!E538)^$G$3*CMOS!R538^$H$3+$J$3,"")</f>
        <v>49.957655250269141</v>
      </c>
      <c r="Y399" t="b">
        <f>IF(OR(CMOS!N538="",CMOS!R538="",CMOS!E538=""),FALSE,TRUE)</f>
        <v>1</v>
      </c>
    </row>
    <row r="400" spans="1:25">
      <c r="A400">
        <f>IF(Y400,CMOS!G539,"")</f>
        <v>25.25</v>
      </c>
      <c r="B400">
        <f>IF(Y400,$I$3*CMOS!N539^$F$3*(1000*CMOS!E539)^$G$3*CMOS!R539^$H$3+$J$3,"")</f>
        <v>65.392628887354419</v>
      </c>
      <c r="Y400" t="b">
        <f>IF(OR(CMOS!N539="",CMOS!R539="",CMOS!E539=""),FALSE,TRUE)</f>
        <v>1</v>
      </c>
    </row>
    <row r="401" spans="1:25">
      <c r="A401">
        <f>IF(Y401,CMOS!G540,"")</f>
        <v>0.95</v>
      </c>
      <c r="B401">
        <f>IF(Y401,$I$3*CMOS!N540^$F$3*(1000*CMOS!E540)^$G$3*CMOS!R540^$H$3+$J$3,"")</f>
        <v>14.95568820501304</v>
      </c>
      <c r="Y401" t="b">
        <f>IF(OR(CMOS!N540="",CMOS!R540="",CMOS!E540=""),FALSE,TRUE)</f>
        <v>1</v>
      </c>
    </row>
    <row r="402" spans="1:25">
      <c r="A402">
        <f>IF(Y402,CMOS!G541,"")</f>
        <v>24.25</v>
      </c>
      <c r="B402">
        <f>IF(Y402,$I$3*CMOS!N541^$F$3*(1000*CMOS!E541)^$G$3*CMOS!R541^$H$3+$J$3,"")</f>
        <v>27.536648882213878</v>
      </c>
      <c r="Y402" t="b">
        <f>IF(OR(CMOS!N541="",CMOS!R541="",CMOS!E541=""),FALSE,TRUE)</f>
        <v>1</v>
      </c>
    </row>
    <row r="403" spans="1:25">
      <c r="A403">
        <f>IF(Y403,CMOS!G542,"")</f>
        <v>20.75</v>
      </c>
      <c r="B403">
        <f>IF(Y403,$I$3*CMOS!N542^$F$3*(1000*CMOS!E542)^$G$3*CMOS!R542^$H$3+$J$3,"")</f>
        <v>49.128594288577446</v>
      </c>
      <c r="Y403" t="b">
        <f>IF(OR(CMOS!N542="",CMOS!R542="",CMOS!E542=""),FALSE,TRUE)</f>
        <v>1</v>
      </c>
    </row>
    <row r="404" spans="1:25">
      <c r="A404">
        <f>IF(Y404,CMOS!G543,"")</f>
        <v>2.4</v>
      </c>
      <c r="B404">
        <f>IF(Y404,$I$3*CMOS!N543^$F$3*(1000*CMOS!E543)^$G$3*CMOS!R543^$H$3+$J$3,"")</f>
        <v>20.395733868208271</v>
      </c>
      <c r="Y404" t="b">
        <f>IF(OR(CMOS!N543="",CMOS!R543="",CMOS!E543=""),FALSE,TRUE)</f>
        <v>1</v>
      </c>
    </row>
    <row r="405" spans="1:25">
      <c r="A405">
        <f>IF(Y405,CMOS!G544,"")</f>
        <v>5.2</v>
      </c>
      <c r="B405">
        <f>IF(Y405,$I$3*CMOS!N544^$F$3*(1000*CMOS!E544)^$G$3*CMOS!R544^$H$3+$J$3,"")</f>
        <v>22.438095573397984</v>
      </c>
      <c r="Y405" t="b">
        <f>IF(OR(CMOS!N544="",CMOS!R544="",CMOS!E544=""),FALSE,TRUE)</f>
        <v>1</v>
      </c>
    </row>
    <row r="406" spans="1:25">
      <c r="A406">
        <f>IF(Y406,CMOS!G545,"")</f>
        <v>3.15</v>
      </c>
      <c r="B406">
        <f>IF(Y406,$I$3*CMOS!N545^$F$3*(1000*CMOS!E545)^$G$3*CMOS!R545^$H$3+$J$3,"")</f>
        <v>31.904747896778328</v>
      </c>
      <c r="Y406" t="b">
        <f>IF(OR(CMOS!N545="",CMOS!R545="",CMOS!E545=""),FALSE,TRUE)</f>
        <v>1</v>
      </c>
    </row>
    <row r="407" spans="1:25">
      <c r="A407">
        <f>IF(Y407,CMOS!G546,"")</f>
        <v>5.75</v>
      </c>
      <c r="B407">
        <f>IF(Y407,$I$3*CMOS!N546^$F$3*(1000*CMOS!E546)^$G$3*CMOS!R546^$H$3+$J$3,"")</f>
        <v>13.170507454220569</v>
      </c>
      <c r="Y407" t="b">
        <f>IF(OR(CMOS!N546="",CMOS!R546="",CMOS!E546=""),FALSE,TRUE)</f>
        <v>1</v>
      </c>
    </row>
    <row r="408" spans="1:25">
      <c r="A408">
        <f>IF(Y408,CMOS!G547,"")</f>
        <v>2</v>
      </c>
      <c r="B408">
        <f>IF(Y408,$I$3*CMOS!N547^$F$3*(1000*CMOS!E547)^$G$3*CMOS!R547^$H$3+$J$3,"")</f>
        <v>8.9527236027515045</v>
      </c>
      <c r="Y408" t="b">
        <f>IF(OR(CMOS!N547="",CMOS!R547="",CMOS!E547=""),FALSE,TRUE)</f>
        <v>1</v>
      </c>
    </row>
    <row r="409" spans="1:25">
      <c r="A409">
        <f>IF(Y409,CMOS!G548,"")</f>
        <v>40.5</v>
      </c>
      <c r="B409">
        <f>IF(Y409,$I$3*CMOS!N548^$F$3*(1000*CMOS!E548)^$G$3*CMOS!R548^$H$3+$J$3,"")</f>
        <v>60.105480941051454</v>
      </c>
      <c r="Y409" t="b">
        <f>IF(OR(CMOS!N548="",CMOS!R548="",CMOS!E548=""),FALSE,TRUE)</f>
        <v>1</v>
      </c>
    </row>
    <row r="410" spans="1:25">
      <c r="A410">
        <f>IF(Y410,CMOS!G549,"")</f>
        <v>2.4</v>
      </c>
      <c r="B410">
        <f>IF(Y410,$I$3*CMOS!N549^$F$3*(1000*CMOS!E549)^$G$3*CMOS!R549^$H$3+$J$3,"")</f>
        <v>26.014340127516544</v>
      </c>
      <c r="Y410" t="b">
        <f>IF(OR(CMOS!N549="",CMOS!R549="",CMOS!E549=""),FALSE,TRUE)</f>
        <v>1</v>
      </c>
    </row>
    <row r="411" spans="1:25">
      <c r="A411">
        <f>IF(Y411,CMOS!G550,"")</f>
        <v>2.4</v>
      </c>
      <c r="B411">
        <f>IF(Y411,$I$3*CMOS!N550^$F$3*(1000*CMOS!E550)^$G$3*CMOS!R550^$H$3+$J$3,"")</f>
        <v>31.837373054319951</v>
      </c>
      <c r="Y411" t="b">
        <f>IF(OR(CMOS!N550="",CMOS!R550="",CMOS!E550=""),FALSE,TRUE)</f>
        <v>1</v>
      </c>
    </row>
    <row r="412" spans="1:25">
      <c r="A412">
        <f>IF(Y412,CMOS!G551,"")</f>
        <v>5.9</v>
      </c>
      <c r="B412">
        <f>IF(Y412,$I$3*CMOS!N551^$F$3*(1000*CMOS!E551)^$G$3*CMOS!R551^$H$3+$J$3,"")</f>
        <v>24.39565213527413</v>
      </c>
      <c r="Y412" t="b">
        <f>IF(OR(CMOS!N551="",CMOS!R551="",CMOS!E551=""),FALSE,TRUE)</f>
        <v>1</v>
      </c>
    </row>
    <row r="413" spans="1:25">
      <c r="A413">
        <f>IF(Y413,CMOS!G552,"")</f>
        <v>5.9</v>
      </c>
      <c r="B413">
        <f>IF(Y413,$I$3*CMOS!N552^$F$3*(1000*CMOS!E552)^$G$3*CMOS!R552^$H$3+$J$3,"")</f>
        <v>20.698438773674869</v>
      </c>
      <c r="Y413" t="b">
        <f>IF(OR(CMOS!N552="",CMOS!R552="",CMOS!E552=""),FALSE,TRUE)</f>
        <v>1</v>
      </c>
    </row>
    <row r="414" spans="1:25">
      <c r="A414">
        <f>IF(Y414,CMOS!G553,"")</f>
        <v>5.0999999999999996</v>
      </c>
      <c r="B414">
        <f>IF(Y414,$I$3*CMOS!N553^$F$3*(1000*CMOS!E553)^$G$3*CMOS!R553^$H$3+$J$3,"")</f>
        <v>29.22717613142898</v>
      </c>
      <c r="Y414" t="b">
        <f>IF(OR(CMOS!N553="",CMOS!R553="",CMOS!E553=""),FALSE,TRUE)</f>
        <v>1</v>
      </c>
    </row>
    <row r="415" spans="1:25">
      <c r="A415">
        <f>IF(Y415,CMOS!G554,"")</f>
        <v>6.75</v>
      </c>
      <c r="B415">
        <f>IF(Y415,$I$3*CMOS!N554^$F$3*(1000*CMOS!E554)^$G$3*CMOS!R554^$H$3+$J$3,"")</f>
        <v>21.341583916567803</v>
      </c>
      <c r="Y415" t="b">
        <f>IF(OR(CMOS!N554="",CMOS!R554="",CMOS!E554=""),FALSE,TRUE)</f>
        <v>1</v>
      </c>
    </row>
    <row r="416" spans="1:25">
      <c r="A416">
        <f>IF(Y416,CMOS!G555,"")</f>
        <v>6.95</v>
      </c>
      <c r="B416">
        <f>IF(Y416,$I$3*CMOS!N555^$F$3*(1000*CMOS!E555)^$G$3*CMOS!R555^$H$3+$J$3,"")</f>
        <v>24.479771078516581</v>
      </c>
      <c r="Y416" t="b">
        <f>IF(OR(CMOS!N555="",CMOS!R555="",CMOS!E555=""),FALSE,TRUE)</f>
        <v>1</v>
      </c>
    </row>
    <row r="417" spans="1:25">
      <c r="A417">
        <f>IF(Y417,CMOS!G556,"")</f>
        <v>15.2</v>
      </c>
      <c r="B417">
        <f>IF(Y417,$I$3*CMOS!N556^$F$3*(1000*CMOS!E556)^$G$3*CMOS!R556^$H$3+$J$3,"")</f>
        <v>30.333067941649343</v>
      </c>
      <c r="Y417" t="b">
        <f>IF(OR(CMOS!N556="",CMOS!R556="",CMOS!E556=""),FALSE,TRUE)</f>
        <v>1</v>
      </c>
    </row>
    <row r="418" spans="1:25">
      <c r="A418">
        <f>IF(Y418,CMOS!G557,"")</f>
        <v>11</v>
      </c>
      <c r="B418">
        <f>IF(Y418,$I$3*CMOS!N557^$F$3*(1000*CMOS!E557)^$G$3*CMOS!R557^$H$3+$J$3,"")</f>
        <v>30.759404862683102</v>
      </c>
      <c r="Y418" t="b">
        <f>IF(OR(CMOS!N557="",CMOS!R557="",CMOS!E557=""),FALSE,TRUE)</f>
        <v>1</v>
      </c>
    </row>
    <row r="419" spans="1:25">
      <c r="A419">
        <f>IF(Y419,CMOS!G558,"")</f>
        <v>11</v>
      </c>
      <c r="B419">
        <f>IF(Y419,$I$3*CMOS!N558^$F$3*(1000*CMOS!E558)^$G$3*CMOS!R558^$H$3+$J$3,"")</f>
        <v>38.853450637441441</v>
      </c>
      <c r="Y419" t="b">
        <f>IF(OR(CMOS!N558="",CMOS!R558="",CMOS!E558=""),FALSE,TRUE)</f>
        <v>1</v>
      </c>
    </row>
    <row r="420" spans="1:25">
      <c r="A420">
        <f>IF(Y420,CMOS!G559,"")</f>
        <v>0.59750000000000003</v>
      </c>
      <c r="B420">
        <f>IF(Y420,$I$3*CMOS!N559^$F$3*(1000*CMOS!E559)^$G$3*CMOS!R559^$H$3+$J$3,"")</f>
        <v>26.554725793295969</v>
      </c>
      <c r="Y420" t="b">
        <f>IF(OR(CMOS!N559="",CMOS!R559="",CMOS!E559=""),FALSE,TRUE)</f>
        <v>1</v>
      </c>
    </row>
    <row r="421" spans="1:25">
      <c r="A421">
        <f>IF(Y421,CMOS!G560,"")</f>
        <v>1.9</v>
      </c>
      <c r="B421">
        <f>IF(Y421,$I$3*CMOS!N560^$F$3*(1000*CMOS!E560)^$G$3*CMOS!R560^$H$3+$J$3,"")</f>
        <v>12.687273094378149</v>
      </c>
      <c r="Y421" t="b">
        <f>IF(OR(CMOS!N560="",CMOS!R560="",CMOS!E560=""),FALSE,TRUE)</f>
        <v>1</v>
      </c>
    </row>
    <row r="422" spans="1:25">
      <c r="A422">
        <f>IF(Y422,CMOS!G561,"")</f>
        <v>2.2000000000000002</v>
      </c>
      <c r="B422">
        <f>IF(Y422,$I$3*CMOS!N561^$F$3*(1000*CMOS!E561)^$G$3*CMOS!R561^$H$3+$J$3,"")</f>
        <v>14.305318785984159</v>
      </c>
      <c r="Y422" t="b">
        <f>IF(OR(CMOS!N561="",CMOS!R561="",CMOS!E561=""),FALSE,TRUE)</f>
        <v>1</v>
      </c>
    </row>
    <row r="423" spans="1:25">
      <c r="A423">
        <f>IF(Y423,CMOS!G562,"")</f>
        <v>4.05</v>
      </c>
      <c r="B423">
        <f>IF(Y423,$I$3*CMOS!N562^$F$3*(1000*CMOS!E562)^$G$3*CMOS!R562^$H$3+$J$3,"")</f>
        <v>35.336339684519814</v>
      </c>
      <c r="Y423" t="b">
        <f>IF(OR(CMOS!N562="",CMOS!R562="",CMOS!E562=""),FALSE,TRUE)</f>
        <v>1</v>
      </c>
    </row>
    <row r="424" spans="1:25">
      <c r="A424">
        <f>IF(Y424,CMOS!G563,"")</f>
        <v>6.85</v>
      </c>
      <c r="B424">
        <f>IF(Y424,$I$3*CMOS!N563^$F$3*(1000*CMOS!E563)^$G$3*CMOS!R563^$H$3+$J$3,"")</f>
        <v>38.967558304606726</v>
      </c>
      <c r="Y424" t="b">
        <f>IF(OR(CMOS!N563="",CMOS!R563="",CMOS!E563=""),FALSE,TRUE)</f>
        <v>1</v>
      </c>
    </row>
    <row r="425" spans="1:25">
      <c r="A425">
        <f>IF(Y425,CMOS!G564,"")</f>
        <v>22.05</v>
      </c>
      <c r="B425">
        <f>IF(Y425,$I$3*CMOS!N564^$F$3*(1000*CMOS!E564)^$G$3*CMOS!R564^$H$3+$J$3,"")</f>
        <v>27.884239968034333</v>
      </c>
      <c r="Y425" t="b">
        <f>IF(OR(CMOS!N564="",CMOS!R564="",CMOS!E564=""),FALSE,TRUE)</f>
        <v>1</v>
      </c>
    </row>
    <row r="426" spans="1:25">
      <c r="A426">
        <f>IF(Y426,CMOS!G565,"")</f>
        <v>4.8499999999999996</v>
      </c>
      <c r="B426">
        <f>IF(Y426,$I$3*CMOS!N565^$F$3*(1000*CMOS!E565)^$G$3*CMOS!R565^$H$3+$J$3,"")</f>
        <v>16.827634219287621</v>
      </c>
      <c r="Y426" t="b">
        <f>IF(OR(CMOS!N565="",CMOS!R565="",CMOS!E565=""),FALSE,TRUE)</f>
        <v>1</v>
      </c>
    </row>
    <row r="427" spans="1:25">
      <c r="A427">
        <f>IF(Y427,CMOS!G566,"")</f>
        <v>5.375</v>
      </c>
      <c r="B427">
        <f>IF(Y427,$I$3*CMOS!N566^$F$3*(1000*CMOS!E566)^$G$3*CMOS!R566^$H$3+$J$3,"")</f>
        <v>16.407081699306008</v>
      </c>
      <c r="Y427" t="b">
        <f>IF(OR(CMOS!N566="",CMOS!R566="",CMOS!E566=""),FALSE,TRUE)</f>
        <v>1</v>
      </c>
    </row>
    <row r="428" spans="1:25">
      <c r="A428">
        <f>IF(Y428,CMOS!G567,"")</f>
        <v>10.050000000000001</v>
      </c>
      <c r="B428">
        <f>IF(Y428,$I$3*CMOS!N567^$F$3*(1000*CMOS!E567)^$G$3*CMOS!R567^$H$3+$J$3,"")</f>
        <v>33.623177318626304</v>
      </c>
      <c r="Y428" t="b">
        <f>IF(OR(CMOS!N567="",CMOS!R567="",CMOS!E567=""),FALSE,TRUE)</f>
        <v>1</v>
      </c>
    </row>
    <row r="429" spans="1:25">
      <c r="A429">
        <f>IF(Y429,CMOS!G568,"")</f>
        <v>23.2</v>
      </c>
      <c r="B429">
        <f>IF(Y429,$I$3*CMOS!N568^$F$3*(1000*CMOS!E568)^$G$3*CMOS!R568^$H$3+$J$3,"")</f>
        <v>50.291584591270762</v>
      </c>
      <c r="Y429" t="b">
        <f>IF(OR(CMOS!N568="",CMOS!R568="",CMOS!E568=""),FALSE,TRUE)</f>
        <v>1</v>
      </c>
    </row>
    <row r="430" spans="1:25">
      <c r="A430">
        <f>IF(Y430,CMOS!G569,"")</f>
        <v>0.57499999999999996</v>
      </c>
      <c r="B430">
        <f>IF(Y430,$I$3*CMOS!N569^$F$3*(1000*CMOS!E569)^$G$3*CMOS!R569^$H$3+$J$3,"")</f>
        <v>15.1471536901789</v>
      </c>
      <c r="Y430" t="b">
        <f>IF(OR(CMOS!N569="",CMOS!R569="",CMOS!E569=""),FALSE,TRUE)</f>
        <v>1</v>
      </c>
    </row>
    <row r="431" spans="1:25">
      <c r="A431">
        <f>IF(Y431,CMOS!G570,"")</f>
        <v>5.2</v>
      </c>
      <c r="B431">
        <f>IF(Y431,$I$3*CMOS!N570^$F$3*(1000*CMOS!E570)^$G$3*CMOS!R570^$H$3+$J$3,"")</f>
        <v>21.474229690752761</v>
      </c>
      <c r="Y431" t="b">
        <f>IF(OR(CMOS!N570="",CMOS!R570="",CMOS!E570=""),FALSE,TRUE)</f>
        <v>1</v>
      </c>
    </row>
    <row r="432" spans="1:25">
      <c r="A432">
        <f>IF(Y432,CMOS!G571,"")</f>
        <v>6.6749999999999998</v>
      </c>
      <c r="B432">
        <f>IF(Y432,$I$3*CMOS!N571^$F$3*(1000*CMOS!E571)^$G$3*CMOS!R571^$H$3+$J$3,"")</f>
        <v>24.823475210014532</v>
      </c>
      <c r="Y432" t="b">
        <f>IF(OR(CMOS!N571="",CMOS!R571="",CMOS!E571=""),FALSE,TRUE)</f>
        <v>1</v>
      </c>
    </row>
    <row r="433" spans="1:25">
      <c r="A433">
        <f>IF(Y433,CMOS!G572,"")</f>
        <v>4.4000000000000004</v>
      </c>
      <c r="B433">
        <f>IF(Y433,$I$3*CMOS!N572^$F$3*(1000*CMOS!E572)^$G$3*CMOS!R572^$H$3+$J$3,"")</f>
        <v>42.169840728388536</v>
      </c>
      <c r="Y433" t="b">
        <f>IF(OR(CMOS!N572="",CMOS!R572="",CMOS!E572=""),FALSE,TRUE)</f>
        <v>1</v>
      </c>
    </row>
    <row r="434" spans="1:25">
      <c r="A434">
        <f>IF(Y434,CMOS!G573,"")</f>
        <v>6.85</v>
      </c>
      <c r="B434">
        <f>IF(Y434,$I$3*CMOS!N573^$F$3*(1000*CMOS!E573)^$G$3*CMOS!R573^$H$3+$J$3,"")</f>
        <v>34.762203955776656</v>
      </c>
      <c r="Y434" t="b">
        <f>IF(OR(CMOS!N573="",CMOS!R573="",CMOS!E573=""),FALSE,TRUE)</f>
        <v>1</v>
      </c>
    </row>
    <row r="435" spans="1:25">
      <c r="A435">
        <f>IF(Y435,CMOS!G574,"")</f>
        <v>4.75</v>
      </c>
      <c r="B435">
        <f>IF(Y435,$I$3*CMOS!N574^$F$3*(1000*CMOS!E574)^$G$3*CMOS!R574^$H$3+$J$3,"")</f>
        <v>9.1070635305805325</v>
      </c>
      <c r="Y435" t="b">
        <f>IF(OR(CMOS!N574="",CMOS!R574="",CMOS!E574=""),FALSE,TRUE)</f>
        <v>1</v>
      </c>
    </row>
    <row r="436" spans="1:25">
      <c r="A436">
        <f>IF(Y436,CMOS!G575,"")</f>
        <v>5.75</v>
      </c>
      <c r="B436">
        <f>IF(Y436,$I$3*CMOS!N575^$F$3*(1000*CMOS!E575)^$G$3*CMOS!R575^$H$3+$J$3,"")</f>
        <v>28.622752981053534</v>
      </c>
      <c r="Y436" t="b">
        <f>IF(OR(CMOS!N575="",CMOS!R575="",CMOS!E575=""),FALSE,TRUE)</f>
        <v>1</v>
      </c>
    </row>
    <row r="437" spans="1:25">
      <c r="A437">
        <f>IF(Y437,CMOS!G576,"")</f>
        <v>4.05</v>
      </c>
      <c r="B437">
        <f>IF(Y437,$I$3*CMOS!N576^$F$3*(1000*CMOS!E576)^$G$3*CMOS!R576^$H$3+$J$3,"")</f>
        <v>25.48785624770586</v>
      </c>
      <c r="Y437" t="b">
        <f>IF(OR(CMOS!N576="",CMOS!R576="",CMOS!E576=""),FALSE,TRUE)</f>
        <v>1</v>
      </c>
    </row>
    <row r="438" spans="1:25">
      <c r="A438">
        <f>IF(Y438,CMOS!G577,"")</f>
        <v>6</v>
      </c>
      <c r="B438">
        <f>IF(Y438,$I$3*CMOS!N577^$F$3*(1000*CMOS!E577)^$G$3*CMOS!R577^$H$3+$J$3,"")</f>
        <v>18.497608441141221</v>
      </c>
      <c r="Y438" t="b">
        <f>IF(OR(CMOS!N577="",CMOS!R577="",CMOS!E577=""),FALSE,TRUE)</f>
        <v>1</v>
      </c>
    </row>
    <row r="439" spans="1:25">
      <c r="A439">
        <f>IF(Y439,CMOS!G578,"")</f>
        <v>20.399999999999999</v>
      </c>
      <c r="B439">
        <f>IF(Y439,$I$3*CMOS!N578^$F$3*(1000*CMOS!E578)^$G$3*CMOS!R578^$H$3+$J$3,"")</f>
        <v>25.493761396129646</v>
      </c>
      <c r="Y439" t="b">
        <f>IF(OR(CMOS!N578="",CMOS!R578="",CMOS!E578=""),FALSE,TRUE)</f>
        <v>1</v>
      </c>
    </row>
    <row r="440" spans="1:25">
      <c r="A440">
        <f>IF(Y440,CMOS!G579,"")</f>
        <v>1.9750000000000001</v>
      </c>
      <c r="B440">
        <f>IF(Y440,$I$3*CMOS!N579^$F$3*(1000*CMOS!E579)^$G$3*CMOS!R579^$H$3+$J$3,"")</f>
        <v>28.350261403900948</v>
      </c>
      <c r="Y440" t="b">
        <f>IF(OR(CMOS!N579="",CMOS!R579="",CMOS!E579=""),FALSE,TRUE)</f>
        <v>1</v>
      </c>
    </row>
    <row r="441" spans="1:25">
      <c r="A441">
        <f>IF(Y441,CMOS!G580,"")</f>
        <v>1.8</v>
      </c>
      <c r="B441">
        <f>IF(Y441,$I$3*CMOS!N580^$F$3*(1000*CMOS!E580)^$G$3*CMOS!R580^$H$3+$J$3,"")</f>
        <v>32.416212235201485</v>
      </c>
      <c r="Y441" t="b">
        <f>IF(OR(CMOS!N580="",CMOS!R580="",CMOS!E580=""),FALSE,TRUE)</f>
        <v>1</v>
      </c>
    </row>
    <row r="442" spans="1:25">
      <c r="A442">
        <f>IF(Y442,CMOS!G581,"")</f>
        <v>0.46100000000000002</v>
      </c>
      <c r="B442">
        <f>IF(Y442,$I$3*CMOS!N581^$F$3*(1000*CMOS!E581)^$G$3*CMOS!R581^$H$3+$J$3,"")</f>
        <v>24.305072775234837</v>
      </c>
      <c r="Y442" t="b">
        <f>IF(OR(CMOS!N581="",CMOS!R581="",CMOS!E581=""),FALSE,TRUE)</f>
        <v>1</v>
      </c>
    </row>
    <row r="443" spans="1:25">
      <c r="A443">
        <f>IF(Y443,CMOS!G582,"")</f>
        <v>24.05</v>
      </c>
      <c r="B443">
        <f>IF(Y443,$I$3*CMOS!N582^$F$3*(1000*CMOS!E582)^$G$3*CMOS!R582^$H$3+$J$3,"")</f>
        <v>24.349742212749046</v>
      </c>
      <c r="Y443" t="b">
        <f>IF(OR(CMOS!N582="",CMOS!R582="",CMOS!E582=""),FALSE,TRUE)</f>
        <v>1</v>
      </c>
    </row>
    <row r="444" spans="1:25">
      <c r="A444">
        <f>IF(Y444,CMOS!G583,"")</f>
        <v>53.55</v>
      </c>
      <c r="B444">
        <f>IF(Y444,$I$3*CMOS!N583^$F$3*(1000*CMOS!E583)^$G$3*CMOS!R583^$H$3+$J$3,"")</f>
        <v>64.585429443875711</v>
      </c>
      <c r="Y444" t="b">
        <f>IF(OR(CMOS!N583="",CMOS!R583="",CMOS!E583=""),FALSE,TRUE)</f>
        <v>1</v>
      </c>
    </row>
    <row r="445" spans="1:25">
      <c r="A445">
        <f>IF(Y445,CMOS!G584,"")</f>
        <v>63</v>
      </c>
      <c r="B445">
        <f>IF(Y445,$I$3*CMOS!N584^$F$3*(1000*CMOS!E584)^$G$3*CMOS!R584^$H$3+$J$3,"")</f>
        <v>58.142259596671167</v>
      </c>
      <c r="Y445" t="b">
        <f>IF(OR(CMOS!N584="",CMOS!R584="",CMOS!E584=""),FALSE,TRUE)</f>
        <v>1</v>
      </c>
    </row>
    <row r="446" spans="1:25">
      <c r="A446">
        <f>IF(Y446,CMOS!G585,"")</f>
        <v>24</v>
      </c>
      <c r="B446">
        <f>IF(Y446,$I$3*CMOS!N585^$F$3*(1000*CMOS!E585)^$G$3*CMOS!R585^$H$3+$J$3,"")</f>
        <v>27.751824461762379</v>
      </c>
      <c r="Y446" t="b">
        <f>IF(OR(CMOS!N585="",CMOS!R585="",CMOS!E585=""),FALSE,TRUE)</f>
        <v>1</v>
      </c>
    </row>
    <row r="447" spans="1:25">
      <c r="A447">
        <f>IF(Y447,CMOS!G586,"")</f>
        <v>0.9</v>
      </c>
      <c r="B447">
        <f>IF(Y447,$I$3*CMOS!N586^$F$3*(1000*CMOS!E586)^$G$3*CMOS!R586^$H$3+$J$3,"")</f>
        <v>9.3723833585601533</v>
      </c>
      <c r="Y447" t="b">
        <f>IF(OR(CMOS!N586="",CMOS!R586="",CMOS!E586=""),FALSE,TRUE)</f>
        <v>1</v>
      </c>
    </row>
    <row r="448" spans="1:25">
      <c r="A448">
        <f>IF(Y448,CMOS!G587,"")</f>
        <v>62</v>
      </c>
      <c r="B448">
        <f>IF(Y448,$I$3*CMOS!N587^$F$3*(1000*CMOS!E587)^$G$3*CMOS!R587^$H$3+$J$3,"")</f>
        <v>81.418389955454259</v>
      </c>
      <c r="Y448" t="b">
        <f>IF(OR(CMOS!N587="",CMOS!R587="",CMOS!E587=""),FALSE,TRUE)</f>
        <v>1</v>
      </c>
    </row>
    <row r="449" spans="1:25">
      <c r="A449">
        <f>IF(Y449,CMOS!G588,"")</f>
        <v>1.1499999999999999</v>
      </c>
      <c r="B449">
        <f>IF(Y449,$I$3*CMOS!N588^$F$3*(1000*CMOS!E588)^$G$3*CMOS!R588^$H$3+$J$3,"")</f>
        <v>27.37659028708109</v>
      </c>
      <c r="Y449" t="b">
        <f>IF(OR(CMOS!N588="",CMOS!R588="",CMOS!E588=""),FALSE,TRUE)</f>
        <v>1</v>
      </c>
    </row>
    <row r="450" spans="1:25">
      <c r="A450">
        <f>IF(Y450,CMOS!G589,"")</f>
        <v>58.2</v>
      </c>
      <c r="B450">
        <f>IF(Y450,$I$3*CMOS!N589^$F$3*(1000*CMOS!E589)^$G$3*CMOS!R589^$H$3+$J$3,"")</f>
        <v>45.069820456324905</v>
      </c>
      <c r="Y450" t="b">
        <f>IF(OR(CMOS!N589="",CMOS!R589="",CMOS!E589=""),FALSE,TRUE)</f>
        <v>1</v>
      </c>
    </row>
    <row r="451" spans="1:25">
      <c r="A451">
        <f>IF(Y451,CMOS!G590,"")</f>
        <v>5</v>
      </c>
      <c r="B451">
        <f>IF(Y451,$I$3*CMOS!N590^$F$3*(1000*CMOS!E590)^$G$3*CMOS!R590^$H$3+$J$3,"")</f>
        <v>4.6522064814947122</v>
      </c>
      <c r="Y451" t="b">
        <f>IF(OR(CMOS!N590="",CMOS!R590="",CMOS!E590=""),FALSE,TRUE)</f>
        <v>1</v>
      </c>
    </row>
    <row r="452" spans="1:25">
      <c r="A452">
        <f>IF(Y452,CMOS!G591,"")</f>
        <v>5</v>
      </c>
      <c r="B452">
        <f>IF(Y452,$I$3*CMOS!N591^$F$3*(1000*CMOS!E591)^$G$3*CMOS!R591^$H$3+$J$3,"")</f>
        <v>13.2840130783494</v>
      </c>
      <c r="Y452" t="b">
        <f>IF(OR(CMOS!N591="",CMOS!R591="",CMOS!E591=""),FALSE,TRUE)</f>
        <v>1</v>
      </c>
    </row>
    <row r="453" spans="1:25">
      <c r="A453">
        <f>IF(Y453,CMOS!G592,"")</f>
        <v>1.4</v>
      </c>
      <c r="B453">
        <f>IF(Y453,$I$3*CMOS!N592^$F$3*(1000*CMOS!E592)^$G$3*CMOS!R592^$H$3+$J$3,"")</f>
        <v>18.269181419460988</v>
      </c>
      <c r="Y453" t="b">
        <f>IF(OR(CMOS!N592="",CMOS!R592="",CMOS!E592=""),FALSE,TRUE)</f>
        <v>1</v>
      </c>
    </row>
    <row r="454" spans="1:25">
      <c r="A454">
        <f>IF(Y454,CMOS!G593,"")</f>
        <v>21</v>
      </c>
      <c r="B454">
        <f>IF(Y454,$I$3*CMOS!N593^$F$3*(1000*CMOS!E593)^$G$3*CMOS!R593^$H$3+$J$3,"")</f>
        <v>33.767774045432162</v>
      </c>
      <c r="Y454" t="b">
        <f>IF(OR(CMOS!N593="",CMOS!R593="",CMOS!E593=""),FALSE,TRUE)</f>
        <v>1</v>
      </c>
    </row>
    <row r="455" spans="1:25">
      <c r="A455">
        <f>IF(Y455,CMOS!G594,"")</f>
        <v>1.405</v>
      </c>
      <c r="B455">
        <f>IF(Y455,$I$3*CMOS!N594^$F$3*(1000*CMOS!E594)^$G$3*CMOS!R594^$H$3+$J$3,"")</f>
        <v>18.029298457968462</v>
      </c>
      <c r="Y455" t="b">
        <f>IF(OR(CMOS!N594="",CMOS!R594="",CMOS!E594=""),FALSE,TRUE)</f>
        <v>1</v>
      </c>
    </row>
    <row r="456" spans="1:25">
      <c r="A456">
        <f>IF(Y456,CMOS!G595,"")</f>
        <v>5.65</v>
      </c>
      <c r="B456">
        <f>IF(Y456,$I$3*CMOS!N595^$F$3*(1000*CMOS!E595)^$G$3*CMOS!R595^$H$3+$J$3,"")</f>
        <v>26.244443773686118</v>
      </c>
      <c r="Y456" t="b">
        <f>IF(OR(CMOS!N595="",CMOS!R595="",CMOS!E595=""),FALSE,TRUE)</f>
        <v>1</v>
      </c>
    </row>
    <row r="457" spans="1:25">
      <c r="A457">
        <f>IF(Y457,CMOS!G596,"")</f>
        <v>20.55</v>
      </c>
      <c r="B457">
        <f>IF(Y457,$I$3*CMOS!N596^$F$3*(1000*CMOS!E596)^$G$3*CMOS!R596^$H$3+$J$3,"")</f>
        <v>58.771607760514229</v>
      </c>
      <c r="Y457" t="b">
        <f>IF(OR(CMOS!N596="",CMOS!R596="",CMOS!E596=""),FALSE,TRUE)</f>
        <v>1</v>
      </c>
    </row>
    <row r="458" spans="1:25">
      <c r="A458">
        <f>IF(Y458,CMOS!G597,"")</f>
        <v>6.75</v>
      </c>
      <c r="B458">
        <f>IF(Y458,$I$3*CMOS!N597^$F$3*(1000*CMOS!E597)^$G$3*CMOS!R597^$H$3+$J$3,"")</f>
        <v>15.910474956384334</v>
      </c>
      <c r="Y458" t="b">
        <f>IF(OR(CMOS!N597="",CMOS!R597="",CMOS!E597=""),FALSE,TRUE)</f>
        <v>1</v>
      </c>
    </row>
    <row r="459" spans="1:25">
      <c r="A459">
        <f>IF(Y459,CMOS!G598,"")</f>
        <v>2.4500000000000002</v>
      </c>
      <c r="B459">
        <f>IF(Y459,$I$3*CMOS!N598^$F$3*(1000*CMOS!E598)^$G$3*CMOS!R598^$H$3+$J$3,"")</f>
        <v>16.719361617204783</v>
      </c>
      <c r="Y459" t="b">
        <f>IF(OR(CMOS!N598="",CMOS!R598="",CMOS!E598=""),FALSE,TRUE)</f>
        <v>1</v>
      </c>
    </row>
    <row r="460" spans="1:25">
      <c r="A460">
        <f>IF(Y460,CMOS!G599,"")</f>
        <v>4.625</v>
      </c>
      <c r="B460">
        <f>IF(Y460,$I$3*CMOS!N599^$F$3*(1000*CMOS!E599)^$G$3*CMOS!R599^$H$3+$J$3,"")</f>
        <v>21.736697786743893</v>
      </c>
      <c r="Y460" t="b">
        <f>IF(OR(CMOS!N599="",CMOS!R599="",CMOS!E599=""),FALSE,TRUE)</f>
        <v>1</v>
      </c>
    </row>
    <row r="461" spans="1:25">
      <c r="A461">
        <f>IF(Y461,CMOS!G600,"")</f>
        <v>4.875</v>
      </c>
      <c r="B461">
        <f>IF(Y461,$I$3*CMOS!N600^$F$3*(1000*CMOS!E600)^$G$3*CMOS!R600^$H$3+$J$3,"")</f>
        <v>14.130431206657843</v>
      </c>
      <c r="Y461" t="b">
        <f>IF(OR(CMOS!N600="",CMOS!R600="",CMOS!E600=""),FALSE,TRUE)</f>
        <v>1</v>
      </c>
    </row>
    <row r="462" spans="1:25">
      <c r="A462">
        <f>IF(Y462,CMOS!G601,"")</f>
        <v>0.7</v>
      </c>
      <c r="B462">
        <f>IF(Y462,$I$3*CMOS!N601^$F$3*(1000*CMOS!E601)^$G$3*CMOS!R601^$H$3+$J$3,"")</f>
        <v>20.273477222654382</v>
      </c>
      <c r="Y462" t="b">
        <f>IF(OR(CMOS!N601="",CMOS!R601="",CMOS!E601=""),FALSE,TRUE)</f>
        <v>1</v>
      </c>
    </row>
    <row r="463" spans="1:25">
      <c r="A463">
        <f>IF(Y463,CMOS!G602,"")</f>
        <v>4.5999999999999996</v>
      </c>
      <c r="B463">
        <f>IF(Y463,$I$3*CMOS!N602^$F$3*(1000*CMOS!E602)^$G$3*CMOS!R602^$H$3+$J$3,"")</f>
        <v>21.617426098094665</v>
      </c>
      <c r="Y463" t="b">
        <f>IF(OR(CMOS!N602="",CMOS!R602="",CMOS!E602=""),FALSE,TRUE)</f>
        <v>1</v>
      </c>
    </row>
    <row r="464" spans="1:25">
      <c r="A464">
        <f>IF(Y464,CMOS!G603,"")</f>
        <v>4.5999999999999996</v>
      </c>
      <c r="B464">
        <f>IF(Y464,$I$3*CMOS!N603^$F$3*(1000*CMOS!E603)^$G$3*CMOS!R603^$H$3+$J$3,"")</f>
        <v>21.678334327382462</v>
      </c>
      <c r="Y464" t="b">
        <f>IF(OR(CMOS!N603="",CMOS!R603="",CMOS!E603=""),FALSE,TRUE)</f>
        <v>1</v>
      </c>
    </row>
    <row r="465" spans="1:25">
      <c r="A465">
        <f>IF(Y465,CMOS!G604,"")</f>
        <v>1.3</v>
      </c>
      <c r="B465">
        <f>IF(Y465,$I$3*CMOS!N604^$F$3*(1000*CMOS!E604)^$G$3*CMOS!R604^$H$3+$J$3,"")</f>
        <v>22.060461212583558</v>
      </c>
      <c r="Y465" t="b">
        <f>IF(OR(CMOS!N604="",CMOS!R604="",CMOS!E604=""),FALSE,TRUE)</f>
        <v>1</v>
      </c>
    </row>
    <row r="466" spans="1:25">
      <c r="A466">
        <f>IF(Y466,CMOS!G605,"")</f>
        <v>91</v>
      </c>
      <c r="B466">
        <f>IF(Y466,$I$3*CMOS!N605^$F$3*(1000*CMOS!E605)^$G$3*CMOS!R605^$H$3+$J$3,"")</f>
        <v>99.292624266900162</v>
      </c>
      <c r="Y466" t="b">
        <f>IF(OR(CMOS!N605="",CMOS!R605="",CMOS!E605=""),FALSE,TRUE)</f>
        <v>1</v>
      </c>
    </row>
    <row r="467" spans="1:25">
      <c r="A467">
        <f>IF(Y467,CMOS!G606,"")</f>
        <v>0.625</v>
      </c>
      <c r="B467">
        <f>IF(Y467,$I$3*CMOS!N606^$F$3*(1000*CMOS!E606)^$G$3*CMOS!R606^$H$3+$J$3,"")</f>
        <v>29.607284130046349</v>
      </c>
      <c r="Y467" t="b">
        <f>IF(OR(CMOS!N606="",CMOS!R606="",CMOS!E606=""),FALSE,TRUE)</f>
        <v>1</v>
      </c>
    </row>
    <row r="468" spans="1:25">
      <c r="A468">
        <f>IF(Y468,CMOS!G607,"")</f>
        <v>1.3</v>
      </c>
      <c r="B468">
        <f>IF(Y468,$I$3*CMOS!N607^$F$3*(1000*CMOS!E607)^$G$3*CMOS!R607^$H$3+$J$3,"")</f>
        <v>24.068864372101661</v>
      </c>
      <c r="Y468" t="b">
        <f>IF(OR(CMOS!N607="",CMOS!R607="",CMOS!E607=""),FALSE,TRUE)</f>
        <v>1</v>
      </c>
    </row>
    <row r="469" spans="1:25">
      <c r="A469">
        <f>IF(Y469,CMOS!G608,"")</f>
        <v>95.7</v>
      </c>
      <c r="B469">
        <f>IF(Y469,$I$3*CMOS!N608^$F$3*(1000*CMOS!E608)^$G$3*CMOS!R608^$H$3+$J$3,"")</f>
        <v>98.241544291372762</v>
      </c>
      <c r="Y469" t="b">
        <f>IF(OR(CMOS!N608="",CMOS!R608="",CMOS!E608=""),FALSE,TRUE)</f>
        <v>1</v>
      </c>
    </row>
    <row r="470" spans="1:25">
      <c r="A470" t="str">
        <f>IF(Y470,CMOS!G609,"")</f>
        <v/>
      </c>
      <c r="B470" t="str">
        <f>IF(Y470,$I$3*CMOS!N609^$F$3*(1000*CMOS!E609)^$G$3*CMOS!R609^$H$3+$J$3,"")</f>
        <v/>
      </c>
      <c r="Y470" t="b">
        <f>IF(OR(CMOS!N609="",CMOS!R609="",CMOS!E609=""),FALSE,TRUE)</f>
        <v>0</v>
      </c>
    </row>
    <row r="471" spans="1:25">
      <c r="A471">
        <f>IF(Y471,CMOS!G610,"")</f>
        <v>79.5</v>
      </c>
      <c r="B471">
        <f>IF(Y471,$I$3*CMOS!N610^$F$3*(1000*CMOS!E610)^$G$3*CMOS!R610^$H$3+$J$3,"")</f>
        <v>43.342869510800213</v>
      </c>
      <c r="Y471" t="b">
        <f>IF(OR(CMOS!N610="",CMOS!R610="",CMOS!E610=""),FALSE,TRUE)</f>
        <v>1</v>
      </c>
    </row>
    <row r="472" spans="1:25">
      <c r="A472">
        <f>IF(Y472,CMOS!G611,"")</f>
        <v>64.95</v>
      </c>
      <c r="B472">
        <f>IF(Y472,$I$3*CMOS!N611^$F$3*(1000*CMOS!E611)^$G$3*CMOS!R611^$H$3+$J$3,"")</f>
        <v>46.808088016319488</v>
      </c>
      <c r="Y472" t="b">
        <f>IF(OR(CMOS!N611="",CMOS!R611="",CMOS!E611=""),FALSE,TRUE)</f>
        <v>1</v>
      </c>
    </row>
    <row r="473" spans="1:25">
      <c r="A473">
        <f>IF(Y473,CMOS!G612,"")</f>
        <v>1.7</v>
      </c>
      <c r="B473">
        <f>IF(Y473,$I$3*CMOS!N612^$F$3*(1000*CMOS!E612)^$G$3*CMOS!R612^$H$3+$J$3,"")</f>
        <v>23.840776115629669</v>
      </c>
      <c r="Y473" t="b">
        <f>IF(OR(CMOS!N612="",CMOS!R612="",CMOS!E612=""),FALSE,TRUE)</f>
        <v>1</v>
      </c>
    </row>
    <row r="474" spans="1:25">
      <c r="A474">
        <f>IF(Y474,CMOS!G613,"")</f>
        <v>0.7</v>
      </c>
      <c r="B474">
        <f>IF(Y474,$I$3*CMOS!N613^$F$3*(1000*CMOS!E613)^$G$3*CMOS!R613^$H$3+$J$3,"")</f>
        <v>11.429325445547676</v>
      </c>
      <c r="Y474" t="b">
        <f>IF(OR(CMOS!N613="",CMOS!R613="",CMOS!E613=""),FALSE,TRUE)</f>
        <v>1</v>
      </c>
    </row>
    <row r="475" spans="1:25">
      <c r="A475">
        <f>IF(Y475,CMOS!G614,"")</f>
        <v>63</v>
      </c>
      <c r="B475">
        <f>IF(Y475,$I$3*CMOS!N614^$F$3*(1000*CMOS!E614)^$G$3*CMOS!R614^$H$3+$J$3,"")</f>
        <v>112.84551854380976</v>
      </c>
      <c r="Y475" t="b">
        <f>IF(OR(CMOS!N614="",CMOS!R614="",CMOS!E614=""),FALSE,TRUE)</f>
        <v>1</v>
      </c>
    </row>
    <row r="476" spans="1:25">
      <c r="A476">
        <f>IF(Y476,CMOS!G615,"")</f>
        <v>7.5</v>
      </c>
      <c r="B476">
        <f>IF(Y476,$I$3*CMOS!N615^$F$3*(1000*CMOS!E615)^$G$3*CMOS!R615^$H$3+$J$3,"")</f>
        <v>28.948166616659773</v>
      </c>
      <c r="Y476" t="b">
        <f>IF(OR(CMOS!N615="",CMOS!R615="",CMOS!E615=""),FALSE,TRUE)</f>
        <v>1</v>
      </c>
    </row>
    <row r="477" spans="1:25">
      <c r="A477">
        <f>IF(Y477,CMOS!G616,"")</f>
        <v>18.3</v>
      </c>
      <c r="B477">
        <f>IF(Y477,$I$3*CMOS!N616^$F$3*(1000*CMOS!E616)^$G$3*CMOS!R616^$H$3+$J$3,"")</f>
        <v>52.833821035272194</v>
      </c>
      <c r="Y477" t="b">
        <f>IF(OR(CMOS!N616="",CMOS!R616="",CMOS!E616=""),FALSE,TRUE)</f>
        <v>1</v>
      </c>
    </row>
    <row r="478" spans="1:25">
      <c r="A478">
        <f>IF(Y478,CMOS!G617,"")</f>
        <v>23.7</v>
      </c>
      <c r="B478">
        <f>IF(Y478,$I$3*CMOS!N617^$F$3*(1000*CMOS!E617)^$G$3*CMOS!R617^$H$3+$J$3,"")</f>
        <v>40.704798974727638</v>
      </c>
      <c r="Y478" t="b">
        <f>IF(OR(CMOS!N617="",CMOS!R617="",CMOS!E617=""),FALSE,TRUE)</f>
        <v>1</v>
      </c>
    </row>
    <row r="479" spans="1:25">
      <c r="A479">
        <f>IF(Y479,CMOS!G618,"")</f>
        <v>31.1</v>
      </c>
      <c r="B479">
        <f>IF(Y479,$I$3*CMOS!N618^$F$3*(1000*CMOS!E618)^$G$3*CMOS!R618^$H$3+$J$3,"")</f>
        <v>48.278041464501271</v>
      </c>
      <c r="Y479" t="b">
        <f>IF(OR(CMOS!N618="",CMOS!R618="",CMOS!E618=""),FALSE,TRUE)</f>
        <v>1</v>
      </c>
    </row>
    <row r="480" spans="1:25">
      <c r="A480">
        <f>IF(Y480,CMOS!G619,"")</f>
        <v>59.5</v>
      </c>
      <c r="B480">
        <f>IF(Y480,$I$3*CMOS!N619^$F$3*(1000*CMOS!E619)^$G$3*CMOS!R619^$H$3+$J$3,"")</f>
        <v>40.325214065888673</v>
      </c>
      <c r="Y480" t="b">
        <f>IF(OR(CMOS!N619="",CMOS!R619="",CMOS!E619=""),FALSE,TRUE)</f>
        <v>1</v>
      </c>
    </row>
    <row r="481" spans="1:25">
      <c r="A481">
        <f>IF(Y481,CMOS!G620,"")</f>
        <v>23.5</v>
      </c>
      <c r="B481">
        <f>IF(Y481,$I$3*CMOS!N620^$F$3*(1000*CMOS!E620)^$G$3*CMOS!R620^$H$3+$J$3,"")</f>
        <v>38.208895750771077</v>
      </c>
      <c r="Y481" t="b">
        <f>IF(OR(CMOS!N620="",CMOS!R620="",CMOS!E620=""),FALSE,TRUE)</f>
        <v>1</v>
      </c>
    </row>
    <row r="482" spans="1:25">
      <c r="A482">
        <f>IF(Y482,CMOS!G621,"")</f>
        <v>75</v>
      </c>
      <c r="B482">
        <f>IF(Y482,$I$3*CMOS!N621^$F$3*(1000*CMOS!E621)^$G$3*CMOS!R621^$H$3+$J$3,"")</f>
        <v>82.125267083047589</v>
      </c>
      <c r="Y482" t="b">
        <f>IF(OR(CMOS!N621="",CMOS!R621="",CMOS!E621=""),FALSE,TRUE)</f>
        <v>1</v>
      </c>
    </row>
    <row r="483" spans="1:25">
      <c r="A483">
        <f>IF(Y483,CMOS!G622,"")</f>
        <v>22.6</v>
      </c>
      <c r="B483">
        <f>IF(Y483,$I$3*CMOS!N622^$F$3*(1000*CMOS!E622)^$G$3*CMOS!R622^$H$3+$J$3,"")</f>
        <v>26.708761355984496</v>
      </c>
      <c r="Y483" t="b">
        <f>IF(OR(CMOS!N622="",CMOS!R622="",CMOS!E622=""),FALSE,TRUE)</f>
        <v>1</v>
      </c>
    </row>
    <row r="484" spans="1:25">
      <c r="A484">
        <f>IF(Y484,CMOS!G623,"")</f>
        <v>54</v>
      </c>
      <c r="B484">
        <f>IF(Y484,$I$3*CMOS!N623^$F$3*(1000*CMOS!E623)^$G$3*CMOS!R623^$H$3+$J$3,"")</f>
        <v>52.014925632264649</v>
      </c>
      <c r="Y484" t="b">
        <f>IF(OR(CMOS!N623="",CMOS!R623="",CMOS!E623=""),FALSE,TRUE)</f>
        <v>1</v>
      </c>
    </row>
    <row r="485" spans="1:25">
      <c r="A485">
        <f>IF(Y485,CMOS!G624,"")</f>
        <v>54</v>
      </c>
      <c r="B485">
        <f>IF(Y485,$I$3*CMOS!N624^$F$3*(1000*CMOS!E624)^$G$3*CMOS!R624^$H$3+$J$3,"")</f>
        <v>54.729660401090953</v>
      </c>
      <c r="Y485" t="b">
        <f>IF(OR(CMOS!N624="",CMOS!R624="",CMOS!E624=""),FALSE,TRUE)</f>
        <v>1</v>
      </c>
    </row>
    <row r="486" spans="1:25">
      <c r="A486">
        <f>IF(Y486,CMOS!G625,"")</f>
        <v>10.7</v>
      </c>
      <c r="B486">
        <f>IF(Y486,$I$3*CMOS!N625^$F$3*(1000*CMOS!E625)^$G$3*CMOS!R625^$H$3+$J$3,"")</f>
        <v>23.737273667570921</v>
      </c>
      <c r="Y486" t="b">
        <f>IF(OR(CMOS!N625="",CMOS!R625="",CMOS!E625=""),FALSE,TRUE)</f>
        <v>1</v>
      </c>
    </row>
    <row r="487" spans="1:25">
      <c r="A487">
        <f>IF(Y487,CMOS!G626,"")</f>
        <v>0.55000000000000004</v>
      </c>
      <c r="B487">
        <f>IF(Y487,$I$3*CMOS!N626^$F$3*(1000*CMOS!E626)^$G$3*CMOS!R626^$H$3+$J$3,"")</f>
        <v>24.726676259389468</v>
      </c>
      <c r="Y487" t="b">
        <f>IF(OR(CMOS!N626="",CMOS!R626="",CMOS!E626=""),FALSE,TRUE)</f>
        <v>1</v>
      </c>
    </row>
    <row r="488" spans="1:25">
      <c r="A488">
        <f>IF(Y488,CMOS!G627,"")</f>
        <v>86</v>
      </c>
      <c r="B488">
        <f>IF(Y488,$I$3*CMOS!N627^$F$3*(1000*CMOS!E627)^$G$3*CMOS!R627^$H$3+$J$3,"")</f>
        <v>98.34000145541286</v>
      </c>
      <c r="Y488" t="b">
        <f>IF(OR(CMOS!N627="",CMOS!R627="",CMOS!E627=""),FALSE,TRUE)</f>
        <v>1</v>
      </c>
    </row>
    <row r="489" spans="1:25">
      <c r="A489">
        <f>IF(Y489,CMOS!G628,"")</f>
        <v>36.5</v>
      </c>
      <c r="B489">
        <f>IF(Y489,$I$3*CMOS!N628^$F$3*(1000*CMOS!E628)^$G$3*CMOS!R628^$H$3+$J$3,"")</f>
        <v>40.22921616112879</v>
      </c>
      <c r="Y489" t="b">
        <f>IF(OR(CMOS!N628="",CMOS!R628="",CMOS!E628=""),FALSE,TRUE)</f>
        <v>1</v>
      </c>
    </row>
    <row r="490" spans="1:25">
      <c r="A490">
        <f>IF(Y490,CMOS!G629,"")</f>
        <v>5.75</v>
      </c>
      <c r="B490">
        <f>IF(Y490,$I$3*CMOS!N629^$F$3*(1000*CMOS!E629)^$G$3*CMOS!R629^$H$3+$J$3,"")</f>
        <v>15.161661204069802</v>
      </c>
      <c r="Y490" t="b">
        <f>IF(OR(CMOS!N629="",CMOS!R629="",CMOS!E629=""),FALSE,TRUE)</f>
        <v>1</v>
      </c>
    </row>
    <row r="491" spans="1:25">
      <c r="A491">
        <f>IF(Y491,CMOS!G630,"")</f>
        <v>5.7</v>
      </c>
      <c r="B491">
        <f>IF(Y491,$I$3*CMOS!N630^$F$3*(1000*CMOS!E630)^$G$3*CMOS!R630^$H$3+$J$3,"")</f>
        <v>15.690871171934848</v>
      </c>
      <c r="Y491" t="b">
        <f>IF(OR(CMOS!N630="",CMOS!R630="",CMOS!E630=""),FALSE,TRUE)</f>
        <v>1</v>
      </c>
    </row>
    <row r="492" spans="1:25">
      <c r="A492">
        <f>IF(Y492,CMOS!G631,"")</f>
        <v>58.95</v>
      </c>
      <c r="B492">
        <f>IF(Y492,$I$3*CMOS!N631^$F$3*(1000*CMOS!E631)^$G$3*CMOS!R631^$H$3+$J$3,"")</f>
        <v>67.839462931730168</v>
      </c>
      <c r="Y492" t="b">
        <f>IF(OR(CMOS!N631="",CMOS!R631="",CMOS!E631=""),FALSE,TRUE)</f>
        <v>1</v>
      </c>
    </row>
    <row r="493" spans="1:25">
      <c r="A493">
        <f>IF(Y493,CMOS!G632,"")</f>
        <v>11</v>
      </c>
      <c r="B493">
        <f>IF(Y493,$I$3*CMOS!N632^$F$3*(1000*CMOS!E632)^$G$3*CMOS!R632^$H$3+$J$3,"")</f>
        <v>26.100701276107774</v>
      </c>
      <c r="Y493" t="b">
        <f>IF(OR(CMOS!N632="",CMOS!R632="",CMOS!E632=""),FALSE,TRUE)</f>
        <v>1</v>
      </c>
    </row>
    <row r="494" spans="1:25">
      <c r="A494">
        <f>IF(Y494,CMOS!G633,"")</f>
        <v>2.4</v>
      </c>
      <c r="B494">
        <f>IF(Y494,$I$3*CMOS!N633^$F$3*(1000*CMOS!E633)^$G$3*CMOS!R633^$H$3+$J$3,"")</f>
        <v>8.3756937909112672</v>
      </c>
      <c r="Y494" t="b">
        <f>IF(OR(CMOS!N633="",CMOS!R633="",CMOS!E633=""),FALSE,TRUE)</f>
        <v>1</v>
      </c>
    </row>
    <row r="495" spans="1:25">
      <c r="A495">
        <f>IF(Y495,CMOS!G634,"")</f>
        <v>58.5</v>
      </c>
      <c r="B495">
        <f>IF(Y495,$I$3*CMOS!N634^$F$3*(1000*CMOS!E634)^$G$3*CMOS!R634^$H$3+$J$3,"")</f>
        <v>46.000057696624808</v>
      </c>
      <c r="Y495" t="b">
        <f>IF(OR(CMOS!N634="",CMOS!R634="",CMOS!E634=""),FALSE,TRUE)</f>
        <v>1</v>
      </c>
    </row>
    <row r="496" spans="1:25">
      <c r="A496">
        <f>IF(Y496,CMOS!G635,"")</f>
        <v>25.25</v>
      </c>
      <c r="B496">
        <f>IF(Y496,$I$3*CMOS!N635^$F$3*(1000*CMOS!E635)^$G$3*CMOS!R635^$H$3+$J$3,"")</f>
        <v>27.990004008656225</v>
      </c>
      <c r="Y496" t="b">
        <f>IF(OR(CMOS!N635="",CMOS!R635="",CMOS!E635=""),FALSE,TRUE)</f>
        <v>1</v>
      </c>
    </row>
    <row r="497" spans="1:25">
      <c r="A497">
        <f>IF(Y497,CMOS!G636,"")</f>
        <v>28</v>
      </c>
      <c r="B497">
        <f>IF(Y497,$I$3*CMOS!N636^$F$3*(1000*CMOS!E636)^$G$3*CMOS!R636^$H$3+$J$3,"")</f>
        <v>34.989067483940062</v>
      </c>
      <c r="Y497" t="b">
        <f>IF(OR(CMOS!N636="",CMOS!R636="",CMOS!E636=""),FALSE,TRUE)</f>
        <v>1</v>
      </c>
    </row>
    <row r="498" spans="1:25">
      <c r="A498">
        <f>IF(Y498,CMOS!G637,"")</f>
        <v>31</v>
      </c>
      <c r="B498">
        <f>IF(Y498,$I$3*CMOS!N637^$F$3*(1000*CMOS!E637)^$G$3*CMOS!R637^$H$3+$J$3,"")</f>
        <v>33.246879508889549</v>
      </c>
      <c r="Y498" t="b">
        <f>IF(OR(CMOS!N637="",CMOS!R637="",CMOS!E637=""),FALSE,TRUE)</f>
        <v>1</v>
      </c>
    </row>
    <row r="499" spans="1:25">
      <c r="A499">
        <f>IF(Y499,CMOS!G638,"")</f>
        <v>80.55</v>
      </c>
      <c r="B499">
        <f>IF(Y499,$I$3*CMOS!N638^$F$3*(1000*CMOS!E638)^$G$3*CMOS!R638^$H$3+$J$3,"")</f>
        <v>50.675039892025822</v>
      </c>
      <c r="Y499" t="b">
        <f>IF(OR(CMOS!N638="",CMOS!R638="",CMOS!E638=""),FALSE,TRUE)</f>
        <v>1</v>
      </c>
    </row>
    <row r="500" spans="1:25">
      <c r="A500">
        <f>IF(Y500,CMOS!G639,"")</f>
        <v>72.900000000000006</v>
      </c>
      <c r="B500">
        <f>IF(Y500,$I$3*CMOS!N639^$F$3*(1000*CMOS!E639)^$G$3*CMOS!R639^$H$3+$J$3,"")</f>
        <v>63.931489601591608</v>
      </c>
      <c r="Y500" t="b">
        <f>IF(OR(CMOS!N639="",CMOS!R639="",CMOS!E639=""),FALSE,TRUE)</f>
        <v>1</v>
      </c>
    </row>
    <row r="501" spans="1:25">
      <c r="A501">
        <f>IF(Y501,CMOS!G640,"")</f>
        <v>31.2</v>
      </c>
      <c r="B501">
        <f>IF(Y501,$I$3*CMOS!N640^$F$3*(1000*CMOS!E640)^$G$3*CMOS!R640^$H$3+$J$3,"")</f>
        <v>59.360032537006262</v>
      </c>
      <c r="Y501" t="b">
        <f>IF(OR(CMOS!N640="",CMOS!R640="",CMOS!E640=""),FALSE,TRUE)</f>
        <v>1</v>
      </c>
    </row>
    <row r="502" spans="1:25">
      <c r="A502">
        <f>IF(Y502,CMOS!G641,"")</f>
        <v>27.75</v>
      </c>
      <c r="B502">
        <f>IF(Y502,$I$3*CMOS!N641^$F$3*(1000*CMOS!E641)^$G$3*CMOS!R641^$H$3+$J$3,"")</f>
        <v>25.100386048049035</v>
      </c>
      <c r="Y502" t="b">
        <f>IF(OR(CMOS!N641="",CMOS!R641="",CMOS!E641=""),FALSE,TRUE)</f>
        <v>1</v>
      </c>
    </row>
    <row r="503" spans="1:25">
      <c r="A503">
        <f>IF(Y503,CMOS!G643,"")</f>
        <v>84.55</v>
      </c>
      <c r="B503">
        <f>IF(Y503,$I$3*CMOS!N643^$F$3*(1000*CMOS!E643)^$G$3*CMOS!R643^$H$3+$J$3,"")</f>
        <v>86.285079896414118</v>
      </c>
      <c r="Y503" t="b">
        <f>IF(OR(CMOS!N643="",CMOS!R643="",CMOS!E643=""),FALSE,TRUE)</f>
        <v>1</v>
      </c>
    </row>
    <row r="504" spans="1:25">
      <c r="A504">
        <f>IF(Y504,CMOS!G644,"")</f>
        <v>0.42499999999999999</v>
      </c>
      <c r="B504">
        <f>IF(Y504,$I$3*CMOS!N644^$F$3*(1000*CMOS!E644)^$G$3*CMOS!R644^$H$3+$J$3,"")</f>
        <v>28.94654964161165</v>
      </c>
      <c r="Y504" t="b">
        <f>IF(OR(CMOS!N644="",CMOS!R644="",CMOS!E644=""),FALSE,TRUE)</f>
        <v>1</v>
      </c>
    </row>
    <row r="505" spans="1:25">
      <c r="A505">
        <f>IF(Y505,CMOS!G645,"")</f>
        <v>28</v>
      </c>
      <c r="B505">
        <f>IF(Y505,$I$3*CMOS!N645^$F$3*(1000*CMOS!E645)^$G$3*CMOS!R645^$H$3+$J$3,"")</f>
        <v>35.443143473997338</v>
      </c>
      <c r="Y505" t="b">
        <f>IF(OR(CMOS!N645="",CMOS!R645="",CMOS!E645=""),FALSE,TRUE)</f>
        <v>1</v>
      </c>
    </row>
    <row r="506" spans="1:25">
      <c r="A506">
        <f>IF(Y506,CMOS!G646,"")</f>
        <v>39</v>
      </c>
      <c r="B506">
        <f>IF(Y506,$I$3*CMOS!N646^$F$3*(1000*CMOS!E646)^$G$3*CMOS!R646^$H$3+$J$3,"")</f>
        <v>42.342348569354698</v>
      </c>
      <c r="Y506" t="b">
        <f>IF(OR(CMOS!N646="",CMOS!R646="",CMOS!E646=""),FALSE,TRUE)</f>
        <v>1</v>
      </c>
    </row>
    <row r="507" spans="1:25">
      <c r="A507">
        <f>IF(Y507,CMOS!G647,"")</f>
        <v>28</v>
      </c>
      <c r="B507">
        <f>IF(Y507,$I$3*CMOS!N647^$F$3*(1000*CMOS!E647)^$G$3*CMOS!R647^$H$3+$J$3,"")</f>
        <v>43.988336109580871</v>
      </c>
      <c r="Y507" t="b">
        <f>IF(OR(CMOS!N647="",CMOS!R647="",CMOS!E647=""),FALSE,TRUE)</f>
        <v>1</v>
      </c>
    </row>
    <row r="508" spans="1:25">
      <c r="A508">
        <f>IF(Y508,CMOS!G648,"")</f>
        <v>38.5</v>
      </c>
      <c r="B508">
        <f>IF(Y508,$I$3*CMOS!N648^$F$3*(1000*CMOS!E648)^$G$3*CMOS!R648^$H$3+$J$3,"")</f>
        <v>47.228736990565494</v>
      </c>
      <c r="Y508" t="b">
        <f>IF(OR(CMOS!N648="",CMOS!R648="",CMOS!E648=""),FALSE,TRUE)</f>
        <v>1</v>
      </c>
    </row>
    <row r="509" spans="1:25">
      <c r="A509">
        <f>IF(Y509,CMOS!G649,"")</f>
        <v>38.5</v>
      </c>
      <c r="B509">
        <f>IF(Y509,$I$3*CMOS!N649^$F$3*(1000*CMOS!E649)^$G$3*CMOS!R649^$H$3+$J$3,"")</f>
        <v>39.26812665259088</v>
      </c>
      <c r="Y509" t="b">
        <f>IF(OR(CMOS!N649="",CMOS!R649="",CMOS!E649=""),FALSE,TRUE)</f>
        <v>1</v>
      </c>
    </row>
    <row r="510" spans="1:25">
      <c r="A510">
        <f>IF(Y510,CMOS!G650,"")</f>
        <v>0.433</v>
      </c>
      <c r="B510">
        <f>IF(Y510,$I$3*CMOS!N650^$F$3*(1000*CMOS!E650)^$G$3*CMOS!R650^$H$3+$J$3,"")</f>
        <v>12.556176377688335</v>
      </c>
      <c r="Y510" t="b">
        <f>IF(OR(CMOS!N650="",CMOS!R650="",CMOS!E650=""),FALSE,TRUE)</f>
        <v>1</v>
      </c>
    </row>
    <row r="511" spans="1:25">
      <c r="A511">
        <f>IF(Y511,CMOS!G651,"")</f>
        <v>28.5</v>
      </c>
      <c r="B511">
        <f>IF(Y511,$I$3*CMOS!N651^$F$3*(1000*CMOS!E651)^$G$3*CMOS!R651^$H$3+$J$3,"")</f>
        <v>34.381890081572138</v>
      </c>
      <c r="Y511" t="b">
        <f>IF(OR(CMOS!N651="",CMOS!R651="",CMOS!E651=""),FALSE,TRUE)</f>
        <v>1</v>
      </c>
    </row>
    <row r="512" spans="1:25">
      <c r="A512">
        <f>IF(Y512,CMOS!G652,"")</f>
        <v>28.5</v>
      </c>
      <c r="B512">
        <f>IF(Y512,$I$3*CMOS!N652^$F$3*(1000*CMOS!E652)^$G$3*CMOS!R652^$H$3+$J$3,"")</f>
        <v>44.360087148988455</v>
      </c>
      <c r="Y512" t="b">
        <f>IF(OR(CMOS!N652="",CMOS!R652="",CMOS!E652=""),FALSE,TRUE)</f>
        <v>1</v>
      </c>
    </row>
    <row r="513" spans="1:25">
      <c r="A513">
        <f>IF(Y513,CMOS!G653,"")</f>
        <v>38</v>
      </c>
      <c r="B513">
        <f>IF(Y513,$I$3*CMOS!N653^$F$3*(1000*CMOS!E653)^$G$3*CMOS!R653^$H$3+$J$3,"")</f>
        <v>52.057979170422129</v>
      </c>
      <c r="Y513" t="b">
        <f>IF(OR(CMOS!N653="",CMOS!R653="",CMOS!E653=""),FALSE,TRUE)</f>
        <v>1</v>
      </c>
    </row>
    <row r="514" spans="1:25">
      <c r="A514">
        <f>IF(Y514,CMOS!G654,"")</f>
        <v>24.5</v>
      </c>
      <c r="B514">
        <f>IF(Y514,$I$3*CMOS!N654^$F$3*(1000*CMOS!E654)^$G$3*CMOS!R654^$H$3+$J$3,"")</f>
        <v>61.292751802909123</v>
      </c>
      <c r="Y514" t="b">
        <f>IF(OR(CMOS!N654="",CMOS!R654="",CMOS!E654=""),FALSE,TRUE)</f>
        <v>1</v>
      </c>
    </row>
    <row r="515" spans="1:25">
      <c r="A515">
        <f>IF(Y515,CMOS!G656,"")</f>
        <v>15.05</v>
      </c>
      <c r="B515">
        <f>IF(Y515,$I$3*CMOS!N656^$F$3*(1000*CMOS!E656)^$G$3*CMOS!R656^$H$3+$J$3,"")</f>
        <v>65.204423288796619</v>
      </c>
      <c r="Y515" t="b">
        <f>IF(OR(CMOS!N656="",CMOS!R656="",CMOS!E656=""),FALSE,TRUE)</f>
        <v>1</v>
      </c>
    </row>
    <row r="516" spans="1:25">
      <c r="A516">
        <f>IF(Y516,CMOS!G657,"")</f>
        <v>5.8</v>
      </c>
      <c r="B516">
        <f>IF(Y516,$I$3*CMOS!N657^$F$3*(1000*CMOS!E657)^$G$3*CMOS!R657^$H$3+$J$3,"")</f>
        <v>11.755320622868489</v>
      </c>
      <c r="Y516" t="b">
        <f>IF(OR(CMOS!N657="",CMOS!R657="",CMOS!E657=""),FALSE,TRUE)</f>
        <v>1</v>
      </c>
    </row>
    <row r="517" spans="1:25">
      <c r="A517">
        <f>IF(Y517,CMOS!G658,"")</f>
        <v>36.85</v>
      </c>
      <c r="B517">
        <f>IF(Y517,$I$3*CMOS!N658^$F$3*(1000*CMOS!E658)^$G$3*CMOS!R658^$H$3+$J$3,"")</f>
        <v>36.321976534889401</v>
      </c>
      <c r="Y517" t="b">
        <f>IF(OR(CMOS!N658="",CMOS!R658="",CMOS!E658=""),FALSE,TRUE)</f>
        <v>1</v>
      </c>
    </row>
    <row r="518" spans="1:25">
      <c r="A518">
        <f>IF(Y518,CMOS!G659,"")</f>
        <v>36.85</v>
      </c>
      <c r="B518">
        <f>IF(Y518,$I$3*CMOS!N659^$F$3*(1000*CMOS!E659)^$G$3*CMOS!R659^$H$3+$J$3,"")</f>
        <v>36.744880508188501</v>
      </c>
      <c r="Y518" t="b">
        <f>IF(OR(CMOS!N659="",CMOS!R659="",CMOS!E659=""),FALSE,TRUE)</f>
        <v>1</v>
      </c>
    </row>
    <row r="519" spans="1:25">
      <c r="A519">
        <f>IF(Y519,CMOS!G660,"")</f>
        <v>28</v>
      </c>
      <c r="B519">
        <f>IF(Y519,$I$3*CMOS!N660^$F$3*(1000*CMOS!E660)^$G$3*CMOS!R660^$H$3+$J$3,"")</f>
        <v>38.607188102067738</v>
      </c>
      <c r="Y519" t="b">
        <f>IF(OR(CMOS!N660="",CMOS!R660="",CMOS!E660=""),FALSE,TRUE)</f>
        <v>1</v>
      </c>
    </row>
    <row r="520" spans="1:25">
      <c r="A520">
        <f>IF(Y520,CMOS!G661,"")</f>
        <v>39</v>
      </c>
      <c r="B520">
        <f>IF(Y520,$I$3*CMOS!N661^$F$3*(1000*CMOS!E661)^$G$3*CMOS!R661^$H$3+$J$3,"")</f>
        <v>57.313664693588507</v>
      </c>
      <c r="Y520" t="b">
        <f>IF(OR(CMOS!N661="",CMOS!R661="",CMOS!E661=""),FALSE,TRUE)</f>
        <v>1</v>
      </c>
    </row>
    <row r="521" spans="1:25">
      <c r="A521">
        <f>IF(Y521,CMOS!G662,"")</f>
        <v>22.6</v>
      </c>
      <c r="B521">
        <f>IF(Y521,$I$3*CMOS!N662^$F$3*(1000*CMOS!E662)^$G$3*CMOS!R662^$H$3+$J$3,"")</f>
        <v>39.623065231150434</v>
      </c>
      <c r="Y521" t="b">
        <f>IF(OR(CMOS!N662="",CMOS!R662="",CMOS!E662=""),FALSE,TRUE)</f>
        <v>1</v>
      </c>
    </row>
    <row r="522" spans="1:25">
      <c r="A522">
        <f>IF(Y522,CMOS!G663,"")</f>
        <v>11.1</v>
      </c>
      <c r="B522">
        <f>IF(Y522,$I$3*CMOS!N663^$F$3*(1000*CMOS!E663)^$G$3*CMOS!R663^$H$3+$J$3,"")</f>
        <v>23.540458886612367</v>
      </c>
      <c r="Y522" t="b">
        <f>IF(OR(CMOS!N663="",CMOS!R663="",CMOS!E663=""),FALSE,TRUE)</f>
        <v>1</v>
      </c>
    </row>
    <row r="523" spans="1:25">
      <c r="A523">
        <f>IF(Y523,CMOS!G665,"")</f>
        <v>2.2250000000000001</v>
      </c>
      <c r="B523">
        <f>IF(Y523,$I$3*CMOS!N665^$F$3*(1000*CMOS!E665)^$G$3*CMOS!R665^$H$3+$J$3,"")</f>
        <v>22.770106843821136</v>
      </c>
      <c r="Y523" t="b">
        <f>IF(OR(CMOS!N665="",CMOS!R665="",CMOS!E665=""),FALSE,TRUE)</f>
        <v>1</v>
      </c>
    </row>
    <row r="524" spans="1:25">
      <c r="A524">
        <f>IF(Y524,CMOS!G666,"")</f>
        <v>82</v>
      </c>
      <c r="B524">
        <f>IF(Y524,$I$3*CMOS!N666^$F$3*(1000*CMOS!E666)^$G$3*CMOS!R666^$H$3+$J$3,"")</f>
        <v>49.037026953177104</v>
      </c>
      <c r="Y524" t="b">
        <f>IF(OR(CMOS!N666="",CMOS!R666="",CMOS!E666=""),FALSE,TRUE)</f>
        <v>1</v>
      </c>
    </row>
    <row r="525" spans="1:25">
      <c r="A525">
        <f>IF(Y525,CMOS!G667,"")</f>
        <v>23</v>
      </c>
      <c r="B525">
        <f>IF(Y525,$I$3*CMOS!N667^$F$3*(1000*CMOS!E667)^$G$3*CMOS!R667^$H$3+$J$3,"")</f>
        <v>26.289790961225524</v>
      </c>
      <c r="Y525" t="b">
        <f>IF(OR(CMOS!N667="",CMOS!R667="",CMOS!E667=""),FALSE,TRUE)</f>
        <v>1</v>
      </c>
    </row>
    <row r="526" spans="1:25">
      <c r="A526">
        <f>IF(Y526,CMOS!G668,"")</f>
        <v>27.5</v>
      </c>
      <c r="B526">
        <f>IF(Y526,$I$3*CMOS!N668^$F$3*(1000*CMOS!E668)^$G$3*CMOS!R668^$H$3+$J$3,"")</f>
        <v>17.844590064253563</v>
      </c>
      <c r="Y526" t="b">
        <f>IF(OR(CMOS!N668="",CMOS!R668="",CMOS!E668=""),FALSE,TRUE)</f>
        <v>1</v>
      </c>
    </row>
    <row r="527" spans="1:25">
      <c r="A527">
        <f>IF(Y527,CMOS!G669,"")</f>
        <v>11.45</v>
      </c>
      <c r="B527">
        <f>IF(Y527,$I$3*CMOS!N669^$F$3*(1000*CMOS!E669)^$G$3*CMOS!R669^$H$3+$J$3,"")</f>
        <v>22.327905880200543</v>
      </c>
      <c r="Y527" t="b">
        <f>IF(OR(CMOS!N669="",CMOS!R669="",CMOS!E669=""),FALSE,TRUE)</f>
        <v>1</v>
      </c>
    </row>
    <row r="528" spans="1:25">
      <c r="A528">
        <f>IF(Y528,CMOS!G670,"")</f>
        <v>84</v>
      </c>
      <c r="B528">
        <f>IF(Y528,$I$3*CMOS!N670^$F$3*(1000*CMOS!E670)^$G$3*CMOS!R670^$H$3+$J$3,"")</f>
        <v>65.069054056364891</v>
      </c>
      <c r="Y528" t="b">
        <f>IF(OR(CMOS!N670="",CMOS!R670="",CMOS!E670=""),FALSE,TRUE)</f>
        <v>1</v>
      </c>
    </row>
    <row r="529" spans="1:25">
      <c r="A529">
        <f>IF(Y529,CMOS!G671,"")</f>
        <v>143</v>
      </c>
      <c r="B529">
        <f>IF(Y529,$I$3*CMOS!N671^$F$3*(1000*CMOS!E671)^$G$3*CMOS!R671^$H$3+$J$3,"")</f>
        <v>116.21133246238145</v>
      </c>
      <c r="Y529" t="b">
        <f>IF(OR(CMOS!N671="",CMOS!R671="",CMOS!E671=""),FALSE,TRUE)</f>
        <v>1</v>
      </c>
    </row>
    <row r="530" spans="1:25">
      <c r="A530">
        <f>IF(Y530,CMOS!G672,"")</f>
        <v>28</v>
      </c>
      <c r="B530">
        <f>IF(Y530,$I$3*CMOS!N672^$F$3*(1000*CMOS!E672)^$G$3*CMOS!R672^$H$3+$J$3,"")</f>
        <v>52.482834851184862</v>
      </c>
      <c r="Y530" t="b">
        <f>IF(OR(CMOS!N672="",CMOS!R672="",CMOS!E672=""),FALSE,TRUE)</f>
        <v>1</v>
      </c>
    </row>
    <row r="531" spans="1:25">
      <c r="A531">
        <f>IF(Y531,CMOS!G673,"")</f>
        <v>39</v>
      </c>
      <c r="B531">
        <f>IF(Y531,$I$3*CMOS!N673^$F$3*(1000*CMOS!E673)^$G$3*CMOS!R673^$H$3+$J$3,"")</f>
        <v>57.300449836941809</v>
      </c>
      <c r="Y531" t="b">
        <f>IF(OR(CMOS!N673="",CMOS!R673="",CMOS!E673=""),FALSE,TRUE)</f>
        <v>1</v>
      </c>
    </row>
    <row r="532" spans="1:25">
      <c r="A532">
        <f>IF(Y532,CMOS!G674,"")</f>
        <v>59.75</v>
      </c>
      <c r="B532">
        <f>IF(Y532,$I$3*CMOS!N674^$F$3*(1000*CMOS!E674)^$G$3*CMOS!R674^$H$3+$J$3,"")</f>
        <v>82.519235762524403</v>
      </c>
      <c r="Y532" t="b">
        <f>IF(OR(CMOS!N674="",CMOS!R674="",CMOS!E674=""),FALSE,TRUE)</f>
        <v>1</v>
      </c>
    </row>
    <row r="533" spans="1:25">
      <c r="A533">
        <f>IF(Y533,CMOS!G675,"")</f>
        <v>135.85</v>
      </c>
      <c r="B533">
        <f>IF(Y533,$I$3*CMOS!N675^$F$3*(1000*CMOS!E675)^$G$3*CMOS!R675^$H$3+$J$3,"")</f>
        <v>73.997573415722712</v>
      </c>
      <c r="Y533" t="b">
        <f>IF(OR(CMOS!N675="",CMOS!R675="",CMOS!E675=""),FALSE,TRUE)</f>
        <v>1</v>
      </c>
    </row>
    <row r="534" spans="1:25">
      <c r="A534">
        <f>IF(Y534,CMOS!G676,"")</f>
        <v>138</v>
      </c>
      <c r="B534">
        <f>IF(Y534,$I$3*CMOS!N676^$F$3*(1000*CMOS!E676)^$G$3*CMOS!R676^$H$3+$J$3,"")</f>
        <v>63.35108731173338</v>
      </c>
      <c r="Y534" t="b">
        <f>IF(OR(CMOS!N676="",CMOS!R676="",CMOS!E676=""),FALSE,TRUE)</f>
        <v>1</v>
      </c>
    </row>
    <row r="535" spans="1:25">
      <c r="A535">
        <f>IF(Y535,CMOS!G677,"")</f>
        <v>2.62</v>
      </c>
      <c r="B535">
        <f>IF(Y535,$I$3*CMOS!N677^$F$3*(1000*CMOS!E677)^$G$3*CMOS!R677^$H$3+$J$3,"")</f>
        <v>11.141606229959642</v>
      </c>
      <c r="Y535" t="b">
        <f>IF(OR(CMOS!N677="",CMOS!R677="",CMOS!E677=""),FALSE,TRUE)</f>
        <v>1</v>
      </c>
    </row>
    <row r="536" spans="1:25">
      <c r="A536">
        <f>IF(Y536,CMOS!G678,"")</f>
        <v>79.900000000000006</v>
      </c>
      <c r="B536">
        <f>IF(Y536,$I$3*CMOS!N678^$F$3*(1000*CMOS!E678)^$G$3*CMOS!R678^$H$3+$J$3,"")</f>
        <v>89.02301342408785</v>
      </c>
      <c r="Y536" t="b">
        <f>IF(OR(CMOS!N678="",CMOS!R678="",CMOS!E678=""),FALSE,TRUE)</f>
        <v>1</v>
      </c>
    </row>
    <row r="537" spans="1:25">
      <c r="A537">
        <f>IF(Y537,CMOS!G679,"")</f>
        <v>77.900000000000006</v>
      </c>
      <c r="B537">
        <f>IF(Y537,$I$3*CMOS!N679^$F$3*(1000*CMOS!E679)^$G$3*CMOS!R679^$H$3+$J$3,"")</f>
        <v>53.484607852768349</v>
      </c>
      <c r="Y537" t="b">
        <f>IF(OR(CMOS!N679="",CMOS!R679="",CMOS!E679=""),FALSE,TRUE)</f>
        <v>1</v>
      </c>
    </row>
    <row r="538" spans="1:25">
      <c r="A538">
        <f>IF(Y538,CMOS!G680,"")</f>
        <v>34.5</v>
      </c>
      <c r="B538">
        <f>IF(Y538,$I$3*CMOS!N680^$F$3*(1000*CMOS!E680)^$G$3*CMOS!R680^$H$3+$J$3,"")</f>
        <v>83.09715294916181</v>
      </c>
      <c r="Y538" t="b">
        <f>IF(OR(CMOS!N680="",CMOS!R680="",CMOS!E680=""),FALSE,TRUE)</f>
        <v>1</v>
      </c>
    </row>
    <row r="539" spans="1:25">
      <c r="A539">
        <f>IF(Y539,CMOS!G682,"")</f>
        <v>19.2</v>
      </c>
      <c r="B539">
        <f>IF(Y539,$I$3*CMOS!N682^$F$3*(1000*CMOS!E682)^$G$3*CMOS!R682^$H$3+$J$3,"")</f>
        <v>15.487977326044035</v>
      </c>
      <c r="Y539" t="b">
        <f>IF(OR(CMOS!N682="",CMOS!R682="",CMOS!E682=""),FALSE,TRUE)</f>
        <v>1</v>
      </c>
    </row>
    <row r="540" spans="1:25">
      <c r="A540">
        <f>IF(Y540,CMOS!G683,"")</f>
        <v>1.6</v>
      </c>
      <c r="B540">
        <f>IF(Y540,$I$3*CMOS!N683^$F$3*(1000*CMOS!E683)^$G$3*CMOS!R683^$H$3+$J$3,"")</f>
        <v>31.820483475664755</v>
      </c>
      <c r="Y540" t="b">
        <f>IF(OR(CMOS!N683="",CMOS!R683="",CMOS!E683=""),FALSE,TRUE)</f>
        <v>1</v>
      </c>
    </row>
    <row r="541" spans="1:25">
      <c r="A541">
        <f>IF(Y541,CMOS!G684,"")</f>
        <v>1.6</v>
      </c>
      <c r="B541">
        <f>IF(Y541,$I$3*CMOS!N684^$F$3*(1000*CMOS!E684)^$G$3*CMOS!R684^$H$3+$J$3,"")</f>
        <v>156.56499393565724</v>
      </c>
      <c r="Y541" t="b">
        <f>IF(OR(CMOS!N684="",CMOS!R684="",CMOS!E684=""),FALSE,TRUE)</f>
        <v>1</v>
      </c>
    </row>
    <row r="542" spans="1:25">
      <c r="A542">
        <f>IF(Y542,CMOS!G685,"")</f>
        <v>30</v>
      </c>
      <c r="B542">
        <f>IF(Y542,$I$3*CMOS!N685^$F$3*(1000*CMOS!E685)^$G$3*CMOS!R685^$H$3+$J$3,"")</f>
        <v>28.233934951005029</v>
      </c>
      <c r="Y542" t="b">
        <f>IF(OR(CMOS!N685="",CMOS!R685="",CMOS!E685=""),FALSE,TRUE)</f>
        <v>1</v>
      </c>
    </row>
    <row r="543" spans="1:25">
      <c r="A543">
        <f>IF(Y543,CMOS!G686,"")</f>
        <v>15.35</v>
      </c>
      <c r="B543">
        <f>IF(Y543,$I$3*CMOS!N686^$F$3*(1000*CMOS!E686)^$G$3*CMOS!R686^$H$3+$J$3,"")</f>
        <v>39.648414104092382</v>
      </c>
      <c r="Y543" t="b">
        <f>IF(OR(CMOS!N686="",CMOS!R686="",CMOS!E686=""),FALSE,TRUE)</f>
        <v>1</v>
      </c>
    </row>
    <row r="544" spans="1:25">
      <c r="A544" t="str">
        <f>IF(Y544,CMOS!G687,"")</f>
        <v/>
      </c>
      <c r="B544" t="str">
        <f>IF(Y544,$I$3*CMOS!N687^$F$3*(1000*CMOS!E687)^$G$3*CMOS!R687^$H$3+$J$3,"")</f>
        <v/>
      </c>
      <c r="Y544" t="b">
        <f>IF(OR(CMOS!N687="",CMOS!R687="",CMOS!E687=""),FALSE,TRUE)</f>
        <v>0</v>
      </c>
    </row>
    <row r="545" spans="1:25">
      <c r="A545" t="str">
        <f>IF(Y545,CMOS!G688,"")</f>
        <v/>
      </c>
      <c r="B545" t="str">
        <f>IF(Y545,$I$3*CMOS!N688^$F$3*(1000*CMOS!E688)^$G$3*CMOS!R688^$H$3+$J$3,"")</f>
        <v/>
      </c>
      <c r="Y545" t="b">
        <f>IF(OR(CMOS!N688="",CMOS!R688="",CMOS!E688=""),FALSE,TRUE)</f>
        <v>0</v>
      </c>
    </row>
    <row r="546" spans="1:25">
      <c r="A546" t="str">
        <f>IF(Y546,CMOS!G689,"")</f>
        <v/>
      </c>
      <c r="B546" t="str">
        <f>IF(Y546,$I$3*CMOS!N689^$F$3*(1000*CMOS!E689)^$G$3*CMOS!R689^$H$3+$J$3,"")</f>
        <v/>
      </c>
      <c r="Y546" t="b">
        <f>IF(OR(CMOS!N689="",CMOS!R689="",CMOS!E689=""),FALSE,TRUE)</f>
        <v>0</v>
      </c>
    </row>
    <row r="547" spans="1:25">
      <c r="A547" t="str">
        <f>IF(Y547,CMOS!G690,"")</f>
        <v/>
      </c>
      <c r="B547" t="str">
        <f>IF(Y547,$I$3*CMOS!N690^$F$3*(1000*CMOS!E690)^$G$3*CMOS!R690^$H$3+$J$3,"")</f>
        <v/>
      </c>
      <c r="Y547" t="b">
        <f>IF(OR(CMOS!N690="",CMOS!R690="",CMOS!E690=""),FALSE,TRUE)</f>
        <v>0</v>
      </c>
    </row>
    <row r="548" spans="1:25">
      <c r="A548" t="str">
        <f>IF(Y548,CMOS!G691,"")</f>
        <v/>
      </c>
      <c r="B548" t="str">
        <f>IF(Y548,$I$3*CMOS!N691^$F$3*(1000*CMOS!E691)^$G$3*CMOS!R691^$H$3+$J$3,"")</f>
        <v/>
      </c>
      <c r="Y548" t="b">
        <f>IF(OR(CMOS!N691="",CMOS!R691="",CMOS!E691=""),FALSE,TRUE)</f>
        <v>0</v>
      </c>
    </row>
    <row r="549" spans="1:25">
      <c r="A549" t="str">
        <f>IF(Y549,CMOS!G692,"")</f>
        <v/>
      </c>
      <c r="B549" t="str">
        <f>IF(Y549,$I$3*CMOS!N692^$F$3*(1000*CMOS!E692)^$G$3*CMOS!R692^$H$3+$J$3,"")</f>
        <v/>
      </c>
      <c r="Y549" t="b">
        <f>IF(OR(CMOS!N692="",CMOS!R692="",CMOS!E692=""),FALSE,TRUE)</f>
        <v>0</v>
      </c>
    </row>
    <row r="550" spans="1:25">
      <c r="A550" t="str">
        <f>IF(Y550,CMOS!G693,"")</f>
        <v/>
      </c>
      <c r="B550" t="str">
        <f>IF(Y550,$I$3*CMOS!N693^$F$3*(1000*CMOS!E693)^$G$3*CMOS!R693^$H$3+$J$3,"")</f>
        <v/>
      </c>
      <c r="Y550" t="b">
        <f>IF(OR(CMOS!N693="",CMOS!R693="",CMOS!E693=""),FALSE,TRUE)</f>
        <v>0</v>
      </c>
    </row>
    <row r="551" spans="1:25">
      <c r="A551" t="str">
        <f>IF(Y551,CMOS!G694,"")</f>
        <v/>
      </c>
      <c r="B551" t="str">
        <f>IF(Y551,$I$3*CMOS!N694^$F$3*(1000*CMOS!E694)^$G$3*CMOS!R694^$H$3+$J$3,"")</f>
        <v/>
      </c>
      <c r="Y551" t="b">
        <f>IF(OR(CMOS!N694="",CMOS!R694="",CMOS!E694=""),FALSE,TRUE)</f>
        <v>0</v>
      </c>
    </row>
    <row r="552" spans="1:25">
      <c r="A552" t="str">
        <f>IF(Y552,CMOS!G695,"")</f>
        <v/>
      </c>
      <c r="B552" t="str">
        <f>IF(Y552,$I$3*CMOS!N695^$F$3*(1000*CMOS!E695)^$G$3*CMOS!R695^$H$3+$J$3,"")</f>
        <v/>
      </c>
      <c r="Y552" t="b">
        <f>IF(OR(CMOS!N695="",CMOS!R695="",CMOS!E695=""),FALSE,TRUE)</f>
        <v>0</v>
      </c>
    </row>
    <row r="553" spans="1:25">
      <c r="A553" t="str">
        <f>IF(Y553,CMOS!G696,"")</f>
        <v/>
      </c>
      <c r="B553" t="str">
        <f>IF(Y553,$I$3*CMOS!N696^$F$3*(1000*CMOS!E696)^$G$3*CMOS!R696^$H$3+$J$3,"")</f>
        <v/>
      </c>
      <c r="Y553" t="b">
        <f>IF(OR(CMOS!N696="",CMOS!R696="",CMOS!E696=""),FALSE,TRUE)</f>
        <v>0</v>
      </c>
    </row>
    <row r="554" spans="1:25">
      <c r="A554" t="str">
        <f>IF(Y554,CMOS!G697,"")</f>
        <v/>
      </c>
      <c r="B554" t="str">
        <f>IF(Y554,$I$3*CMOS!N697^$F$3*(1000*CMOS!E697)^$G$3*CMOS!R697^$H$3+$J$3,"")</f>
        <v/>
      </c>
      <c r="Y554" t="b">
        <f>IF(OR(CMOS!N697="",CMOS!R697="",CMOS!E697=""),FALSE,TRUE)</f>
        <v>0</v>
      </c>
    </row>
    <row r="555" spans="1:25">
      <c r="A555" t="str">
        <f>IF(Y555,CMOS!G698,"")</f>
        <v/>
      </c>
      <c r="B555" t="str">
        <f>IF(Y555,$I$3*CMOS!N698^$F$3*(1000*CMOS!E698)^$G$3*CMOS!R698^$H$3+$J$3,"")</f>
        <v/>
      </c>
      <c r="Y555" t="b">
        <f>IF(OR(CMOS!N698="",CMOS!R698="",CMOS!E698=""),FALSE,TRUE)</f>
        <v>0</v>
      </c>
    </row>
    <row r="556" spans="1:25">
      <c r="A556" t="str">
        <f>IF(Y556,CMOS!G699,"")</f>
        <v/>
      </c>
      <c r="B556" t="str">
        <f>IF(Y556,$I$3*CMOS!N699^$F$3*(1000*CMOS!E699)^$G$3*CMOS!R699^$H$3+$J$3,"")</f>
        <v/>
      </c>
      <c r="Y556" t="b">
        <f>IF(OR(CMOS!N699="",CMOS!R699="",CMOS!E699=""),FALSE,TRUE)</f>
        <v>0</v>
      </c>
    </row>
    <row r="557" spans="1:25">
      <c r="Y557" t="b">
        <f>IF(OR(CMOS!N700="",CMOS!R700="",CMOS!E700=""),FALSE,TRUE)</f>
        <v>0</v>
      </c>
    </row>
    <row r="558" spans="1:25">
      <c r="Y558" t="b">
        <f>IF(OR(CMOS!N701="",CMOS!R701="",CMOS!E701=""),FALSE,TRUE)</f>
        <v>0</v>
      </c>
    </row>
    <row r="559" spans="1:25">
      <c r="Y559" t="b">
        <f>IF(OR(CMOS!N702="",CMOS!R702="",CMOS!E702=""),FALSE,TRUE)</f>
        <v>0</v>
      </c>
    </row>
    <row r="560" spans="1:25">
      <c r="Y560" t="b">
        <f>IF(OR(CMOS!N703="",CMOS!R703="",CMOS!E703=""),FALSE,TRUE)</f>
        <v>0</v>
      </c>
    </row>
    <row r="561" spans="25:25">
      <c r="Y561" t="b">
        <f>IF(OR(CMOS!N704="",CMOS!R704="",CMOS!E704=""),FALSE,TRUE)</f>
        <v>0</v>
      </c>
    </row>
    <row r="562" spans="25:25">
      <c r="Y562" t="b">
        <f>IF(OR(CMOS!N705="",CMOS!R705="",CMOS!E705=""),FALSE,TRUE)</f>
        <v>0</v>
      </c>
    </row>
    <row r="563" spans="25:25">
      <c r="Y563" t="b">
        <f>IF(OR(CMOS!N706="",CMOS!R706="",CMOS!E706=""),FALSE,TRUE)</f>
        <v>0</v>
      </c>
    </row>
    <row r="564" spans="25:25">
      <c r="Y564" t="b">
        <f>IF(OR(CMOS!N707="",CMOS!R707="",CMOS!E707=""),FALSE,TRUE)</f>
        <v>0</v>
      </c>
    </row>
    <row r="565" spans="25:25">
      <c r="Y565" t="b">
        <f>IF(OR(CMOS!N708="",CMOS!R708="",CMOS!E708=""),FALSE,TRUE)</f>
        <v>0</v>
      </c>
    </row>
    <row r="566" spans="25:25">
      <c r="Y566" t="b">
        <f>IF(OR(CMOS!N709="",CMOS!R709="",CMOS!E709=""),FALSE,TRUE)</f>
        <v>0</v>
      </c>
    </row>
    <row r="567" spans="25:25">
      <c r="Y567" t="b">
        <f>IF(OR(CMOS!N710="",CMOS!R710="",CMOS!E710=""),FALSE,TRUE)</f>
        <v>0</v>
      </c>
    </row>
    <row r="568" spans="25:25">
      <c r="Y568" t="b">
        <f>IF(OR(CMOS!N711="",CMOS!R711="",CMOS!E711=""),FALSE,TRUE)</f>
        <v>0</v>
      </c>
    </row>
    <row r="569" spans="25:25">
      <c r="Y569" t="b">
        <f>IF(OR(CMOS!N712="",CMOS!R712="",CMOS!E712=""),FALSE,TRUE)</f>
        <v>0</v>
      </c>
    </row>
    <row r="570" spans="25:25">
      <c r="Y570" t="b">
        <f>IF(OR(CMOS!N713="",CMOS!R713="",CMOS!E713=""),FALSE,TRUE)</f>
        <v>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
  <sheetViews>
    <sheetView workbookViewId="0">
      <selection activeCell="O2" sqref="O2"/>
    </sheetView>
  </sheetViews>
  <sheetFormatPr defaultRowHeight="15"/>
  <sheetData>
    <row r="1" spans="1:15">
      <c r="A1" t="s">
        <v>3009</v>
      </c>
      <c r="E1" t="s">
        <v>3015</v>
      </c>
      <c r="I1" t="s">
        <v>3014</v>
      </c>
      <c r="M1" t="s">
        <v>3016</v>
      </c>
    </row>
    <row r="2" spans="1:15">
      <c r="B2" t="s">
        <v>3010</v>
      </c>
      <c r="C2" t="s">
        <v>3013</v>
      </c>
      <c r="F2" t="s">
        <v>3010</v>
      </c>
      <c r="G2" t="s">
        <v>3013</v>
      </c>
      <c r="J2" t="s">
        <v>3010</v>
      </c>
      <c r="K2" t="s">
        <v>3013</v>
      </c>
      <c r="N2" t="s">
        <v>3010</v>
      </c>
      <c r="O2" t="s">
        <v>3013</v>
      </c>
    </row>
    <row r="3" spans="1:15">
      <c r="A3" t="s">
        <v>3011</v>
      </c>
      <c r="B3">
        <f>MIN(CMOS!G:G)</f>
        <v>0.105</v>
      </c>
      <c r="C3">
        <f>10*LOG10(0.4)</f>
        <v>-3.9794000867203758</v>
      </c>
      <c r="E3" t="s">
        <v>3011</v>
      </c>
      <c r="F3">
        <f>MIN(CMOS!F:F)</f>
        <v>5.0000000000000001E-3</v>
      </c>
      <c r="G3">
        <f>10*LOG10(F3^(1/3))-C3</f>
        <v>-3.6906998988262272</v>
      </c>
      <c r="I3" t="s">
        <v>3011</v>
      </c>
      <c r="J3">
        <f>MIN(CMOS!G:G)</f>
        <v>0.105</v>
      </c>
      <c r="K3">
        <f>10*LOG10(1.6)</f>
        <v>2.0411998265592479</v>
      </c>
      <c r="M3" t="s">
        <v>3011</v>
      </c>
      <c r="N3">
        <f>MIN(CMOS!F:F)</f>
        <v>5.0000000000000001E-3</v>
      </c>
      <c r="O3">
        <f>10*LOG10(N3^(1/3))+K3</f>
        <v>-5.6289001589873546</v>
      </c>
    </row>
    <row r="4" spans="1:15">
      <c r="A4" t="s">
        <v>3012</v>
      </c>
      <c r="B4">
        <f>MAX(CMOS!G:G)</f>
        <v>220</v>
      </c>
      <c r="C4">
        <f>10*LOG10(0.4)</f>
        <v>-3.9794000867203758</v>
      </c>
      <c r="E4" t="s">
        <v>3012</v>
      </c>
      <c r="F4">
        <f>MAX(CMOS!F:F)</f>
        <v>75</v>
      </c>
      <c r="G4">
        <f>10*LOG10(F4^(1/3))-C4</f>
        <v>10.229604298026043</v>
      </c>
      <c r="I4" t="s">
        <v>3012</v>
      </c>
      <c r="J4">
        <f>MAX(CMOS!G:G)</f>
        <v>220</v>
      </c>
      <c r="K4">
        <f>10*LOG10(1.6)</f>
        <v>2.0411998265592479</v>
      </c>
      <c r="M4" t="s">
        <v>3012</v>
      </c>
      <c r="N4">
        <f>MAX(CMOS!F:F)</f>
        <v>75</v>
      </c>
      <c r="O4">
        <f>10*LOG10(N4^(1/3))+K4</f>
        <v>8.2914040378649148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Charts</vt:lpstr>
      </vt:variant>
      <vt:variant>
        <vt:i4>5</vt:i4>
      </vt:variant>
    </vt:vector>
  </HeadingPairs>
  <TitlesOfParts>
    <vt:vector size="15" baseType="lpstr">
      <vt:lpstr>ReadMe</vt:lpstr>
      <vt:lpstr>CMOS</vt:lpstr>
      <vt:lpstr>GaAs</vt:lpstr>
      <vt:lpstr>CryoLNA</vt:lpstr>
      <vt:lpstr>InP</vt:lpstr>
      <vt:lpstr>SiGe</vt:lpstr>
      <vt:lpstr>GAN</vt:lpstr>
      <vt:lpstr>CMOS FOM coeff. calculation</vt:lpstr>
      <vt:lpstr>Limits</vt:lpstr>
      <vt:lpstr>Other FOM eq</vt:lpstr>
      <vt:lpstr>FOM_N vs Freq</vt:lpstr>
      <vt:lpstr>FOM_S vs Freq</vt:lpstr>
      <vt:lpstr>FOM_D vs Freq</vt:lpstr>
      <vt:lpstr>FOM^BW_D vs Freq</vt:lpstr>
      <vt:lpstr>CMOS FOM vs Freq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Sameep Jagtap</dc:creator>
  <cp:lastModifiedBy>Leonid Belostotski</cp:lastModifiedBy>
  <dcterms:created xsi:type="dcterms:W3CDTF">2019-05-06T02:57:04Z</dcterms:created>
  <dcterms:modified xsi:type="dcterms:W3CDTF">2025-12-09T19:43:07Z</dcterms:modified>
</cp:coreProperties>
</file>